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66" yWindow="1935" windowWidth="13275" windowHeight="7170" activeTab="0"/>
  </bookViews>
  <sheets>
    <sheet name="podaci o preduzeću" sheetId="1" r:id="rId1"/>
  </sheets>
  <externalReferences>
    <externalReference r:id="rId4"/>
  </externalReferences>
  <definedNames>
    <definedName name="_xlnm.Print_Area" localSheetId="0">'podaci o preduzeću'!$A$1:$I$176</definedName>
  </definedNames>
  <calcPr fullCalcOnLoad="1"/>
</workbook>
</file>

<file path=xl/sharedStrings.xml><?xml version="1.0" encoding="utf-8"?>
<sst xmlns="http://schemas.openxmlformats.org/spreadsheetml/2006/main" count="206" uniqueCount="164">
  <si>
    <t>"SOJAPROTEIN" A.D.</t>
  </si>
  <si>
    <t>A</t>
  </si>
  <si>
    <t>Soja JUS kvalitet</t>
  </si>
  <si>
    <t>B</t>
  </si>
  <si>
    <t>Sirovo sojino ulje</t>
  </si>
  <si>
    <t>Lecitin</t>
  </si>
  <si>
    <t>Sojina sačma</t>
  </si>
  <si>
    <t>Sojino brašno - SOPRO</t>
  </si>
  <si>
    <t>TSP - SOPROTEX</t>
  </si>
  <si>
    <t>Leci-vita</t>
  </si>
  <si>
    <t>Pržena soja</t>
  </si>
  <si>
    <t>2.</t>
  </si>
  <si>
    <t>1.</t>
  </si>
  <si>
    <t>3.</t>
  </si>
  <si>
    <t>4.</t>
  </si>
  <si>
    <t>5.</t>
  </si>
  <si>
    <t>6.</t>
  </si>
  <si>
    <t>7.</t>
  </si>
  <si>
    <t>8.</t>
  </si>
  <si>
    <t>T S P SOPROTEX</t>
  </si>
  <si>
    <t>9.</t>
  </si>
  <si>
    <t>SOPROMIX</t>
  </si>
  <si>
    <t>11.</t>
  </si>
  <si>
    <t>12.</t>
  </si>
  <si>
    <t xml:space="preserve">           U k u p n o</t>
  </si>
  <si>
    <t>www.soyaprotein.com</t>
  </si>
  <si>
    <t>office@soyaprotein.com</t>
  </si>
  <si>
    <t xml:space="preserve">Milija  Babović, Jasenka Stekić, Olivera Ilinčić, Branislava Pavlović, Milanko Simić, </t>
  </si>
  <si>
    <t>Sojin griz - UTG</t>
  </si>
  <si>
    <t>Sopromix</t>
  </si>
  <si>
    <t>Vegetarijanska pašteta</t>
  </si>
  <si>
    <t xml:space="preserve">Sojin griz- PTG/SH </t>
  </si>
  <si>
    <t>10.</t>
  </si>
  <si>
    <t>Sojin griz- PTG/SH</t>
  </si>
  <si>
    <t>ZALIHE</t>
  </si>
  <si>
    <t>Sojina ljuska I i  IIIkat,</t>
  </si>
  <si>
    <t>Zalihe belih flekica</t>
  </si>
  <si>
    <t>Dom.trž</t>
  </si>
  <si>
    <t>izvoz</t>
  </si>
  <si>
    <t>Ukupno</t>
  </si>
  <si>
    <t xml:space="preserve">Sojina ljus. I </t>
  </si>
  <si>
    <t>Sojin griz-PTG/SH</t>
  </si>
  <si>
    <t>Sojin griz - UTG, BIO</t>
  </si>
  <si>
    <t>Sopromiks</t>
  </si>
  <si>
    <t>Vegetar. pašteta</t>
  </si>
  <si>
    <t>Kukuruz-tona-izvoz</t>
  </si>
  <si>
    <t>Trg.roba I-IV</t>
  </si>
  <si>
    <t>PRIHODI X - XII '09</t>
  </si>
  <si>
    <t>cene                                domaće</t>
  </si>
  <si>
    <t>cene                               ino  kurs 95 din/€</t>
  </si>
  <si>
    <t>Sojin griz-PTG  -SH</t>
  </si>
  <si>
    <t>Kukuruz-tona</t>
  </si>
  <si>
    <t>Ost mat.tr.</t>
  </si>
  <si>
    <t>Energija</t>
  </si>
  <si>
    <t>Tr.zar.nak.zarada i ostali lični rashodi</t>
  </si>
  <si>
    <t>PROIZVODNJA                                          IV - VI                    2010.g.</t>
  </si>
  <si>
    <t>31.03.'010</t>
  </si>
  <si>
    <t>REALIZACIJA IV - VI2010</t>
  </si>
  <si>
    <t>Tr. Amort.</t>
  </si>
  <si>
    <t>Tr.proiz.usl.</t>
  </si>
  <si>
    <t>Nematerijalni troš.</t>
  </si>
  <si>
    <t>1Eur</t>
  </si>
  <si>
    <t>Zalihe 30,06.2010</t>
  </si>
  <si>
    <t>FOR SOYBEAN PROCESSING</t>
  </si>
  <si>
    <t>BECEJ</t>
  </si>
  <si>
    <t>Pursuant to Article 67, para 2 and Article 64 of the Law on Securities Market and pursuant to Article 5</t>
  </si>
  <si>
    <t xml:space="preserve">of the Rulebook on contents and manner of public companies reporting and notification on voting </t>
  </si>
  <si>
    <t>shares possession</t>
  </si>
  <si>
    <t>"SOJAPROTEIN" A.D. BECEJ</t>
  </si>
  <si>
    <t>ANNOUNCES</t>
  </si>
  <si>
    <t>Statement on the Operating Plan of "SOJAPROTEIN" AD Becej for the period</t>
  </si>
  <si>
    <t xml:space="preserve">from January 1 until June 30, 2010 </t>
  </si>
  <si>
    <t>"SOJAPROTEIN", Joint Stock Company for Soybean Processing Becej</t>
  </si>
  <si>
    <t>Industrijska zona bb, Becej</t>
  </si>
  <si>
    <t>Registry Number: 08114072</t>
  </si>
  <si>
    <t>Tax Identification Number: 100741587</t>
  </si>
  <si>
    <t>Web site and e-mail address</t>
  </si>
  <si>
    <t>Decision Number and date of its registration in the Registry of Commercial Entities</t>
  </si>
  <si>
    <t>BD 78680 dated July 29, 2005</t>
  </si>
  <si>
    <t>Activity (code and description)</t>
  </si>
  <si>
    <t>15410 - Production of crude oil and fats</t>
  </si>
  <si>
    <t>Data on the President and members of the Board of Directors</t>
  </si>
  <si>
    <t xml:space="preserve">President of the Board of Directors is  Zoran  Mitrović, and members are Stanko  Popović, </t>
  </si>
  <si>
    <t>Nikola Dolinka and Nebojša Vuković.</t>
  </si>
  <si>
    <t xml:space="preserve">Basic data of the 6-motnh Business Plan for the current year, with </t>
  </si>
  <si>
    <t xml:space="preserve"> P R O D U C T I O N</t>
  </si>
  <si>
    <t>(in tons)</t>
  </si>
  <si>
    <t>Ord. No.</t>
  </si>
  <si>
    <t>D e s c r I p t I o n</t>
  </si>
  <si>
    <t>PLAN                   from 01/01 until           06/30/2010</t>
  </si>
  <si>
    <t>PROCESSED QUANTITIES</t>
  </si>
  <si>
    <t>Soybean - JUS quality</t>
  </si>
  <si>
    <t>Corn</t>
  </si>
  <si>
    <t>Wheat</t>
  </si>
  <si>
    <t>Processing - total</t>
  </si>
  <si>
    <t>PRODUCTION</t>
  </si>
  <si>
    <t>Crude soybean oil</t>
  </si>
  <si>
    <t>Lecithin</t>
  </si>
  <si>
    <t>Soybean meal</t>
  </si>
  <si>
    <t>Soybean shell I</t>
  </si>
  <si>
    <t>Soybean groat - PTG and Amiloprotex-SH</t>
  </si>
  <si>
    <t>Soybean groat - UTG</t>
  </si>
  <si>
    <t>Soybean flour - SOPRO</t>
  </si>
  <si>
    <t>Roasted soybean</t>
  </si>
  <si>
    <t>Vegetarian paste</t>
  </si>
  <si>
    <t xml:space="preserve">TOTAL SALES </t>
  </si>
  <si>
    <t>Product's Name</t>
  </si>
  <si>
    <t>Soybean oil</t>
  </si>
  <si>
    <t xml:space="preserve">Soybean meal 44% </t>
  </si>
  <si>
    <t>Soybean groat -SOPRO, UTG and BIO</t>
  </si>
  <si>
    <t>Soybean flour -SOPRO</t>
  </si>
  <si>
    <t>Total</t>
  </si>
  <si>
    <t>OPERATING PLAN OF "SOJAPROTEIN" A.D. BECEJ</t>
  </si>
  <si>
    <t>FOR THE PERIOD FROM JANUARY 1 UNTIL JUNE 30, 2010</t>
  </si>
  <si>
    <t>In 000 dinars</t>
  </si>
  <si>
    <t>ITEMS</t>
  </si>
  <si>
    <t>I.  REVENUE</t>
  </si>
  <si>
    <t>OPERATING REVENUE</t>
  </si>
  <si>
    <t>FINANCIAL INCOME</t>
  </si>
  <si>
    <t>OTHER REVENUES</t>
  </si>
  <si>
    <t>II.  EXPENSES</t>
  </si>
  <si>
    <t>OPERATING EXPENSES</t>
  </si>
  <si>
    <t>Cost of goods</t>
  </si>
  <si>
    <t>Material cost</t>
  </si>
  <si>
    <t>Salaries, salary compensations and other personal earnings</t>
  </si>
  <si>
    <t>Amortization and depreciation and reserves</t>
  </si>
  <si>
    <t>Other operating expenses</t>
  </si>
  <si>
    <t>FINANCIAL EXPENSES</t>
  </si>
  <si>
    <t>OTHER EXPENSES</t>
  </si>
  <si>
    <t>III. GROSS PROFIT</t>
  </si>
  <si>
    <t>Tax costs for the period</t>
  </si>
  <si>
    <t>NET PROFIT</t>
  </si>
  <si>
    <t>Soybean shell</t>
  </si>
  <si>
    <t>Director General</t>
  </si>
  <si>
    <t>Pavlovic Branislava</t>
  </si>
  <si>
    <t xml:space="preserve">Business name, registered office and address, registry number and tax identification number </t>
  </si>
  <si>
    <t>of a joint stock company:</t>
  </si>
  <si>
    <t>success and cash flows of the Company are given hereunder.</t>
  </si>
  <si>
    <t xml:space="preserve">particulars on significant substantial events and transactions achieved until the </t>
  </si>
  <si>
    <t xml:space="preserve">announcement date which have significant impact on the financial status, </t>
  </si>
  <si>
    <t>Soybean grain processing, production and market of the Company's finished products includes</t>
  </si>
  <si>
    <t xml:space="preserve">various sorts of full-fat, half-fat, lecithined and defatted flours and groats, mixtures </t>
  </si>
  <si>
    <t xml:space="preserve">products are used in the following branches of food industry: meat-processing industry, </t>
  </si>
  <si>
    <t xml:space="preserve">for the food industry, textured proteins, mixes, oils, lecithin and meal. These </t>
  </si>
  <si>
    <t xml:space="preserve">confectionery industry, pharmaceutical industry, production of pastas, baking industry, </t>
  </si>
  <si>
    <t xml:space="preserve">production of vegetable oils and fats. Soja-Vita products are manufactured to be used in: </t>
  </si>
  <si>
    <t xml:space="preserve">households, catering and community restaurants. Products of "Sojaprotein" make an </t>
  </si>
  <si>
    <t>important component of the fodder used in cattle breeding.</t>
  </si>
  <si>
    <t xml:space="preserve">particularly foreign markets; furthermore, transitional stocks of finished products will be marketed </t>
  </si>
  <si>
    <t>whereas the cost of intermediaries and other expenses will mainly remain at the same level, or show</t>
  </si>
  <si>
    <t>insignificant increase.</t>
  </si>
  <si>
    <t xml:space="preserve">Under the plan for the first half of 2010 financial income and expenses related to currency differential </t>
  </si>
  <si>
    <t>may not be predicted with certainty.</t>
  </si>
  <si>
    <t xml:space="preserve">Company experts that the third and fourth quarters will be the most profitable in the year 2010. </t>
  </si>
  <si>
    <t xml:space="preserve">Income growth is expected as a consequence of increased marketing of products both domestic and </t>
  </si>
  <si>
    <t xml:space="preserve">gains and losses accrued on the basis of long-term credits were estimated at the mean rate of EUR </t>
  </si>
  <si>
    <t>equal to 100.00 dinars and, hence, certain deviation are possible since the movements of EUR rate</t>
  </si>
  <si>
    <t xml:space="preserve">Procurement of the soybean grain is performed during the buy-up period at market conditions, </t>
  </si>
  <si>
    <t xml:space="preserve">depending on the needs of production and the procured soybean grain is processed throughout the  </t>
  </si>
  <si>
    <t xml:space="preserve">year until the next crop.  In principle, marketing of soybean products is the lowest in the first quarter </t>
  </si>
  <si>
    <t xml:space="preserve">and, accordingly the resulting income as well. They show increase in the second, third and forth </t>
  </si>
  <si>
    <t xml:space="preserve">quarter; they are highest in this periods since the demand for soybean products is increasing, </t>
  </si>
  <si>
    <t>particularly in the slaughtering industry, confectionery industry and for cattle breeding purposes.</t>
  </si>
  <si>
    <t>Inventories of white soy grits and flakes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</si>
</sst>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0"/>
    <numFmt numFmtId="165" formatCode="#,##0.0"/>
    <numFmt numFmtId="166" formatCode="0.0"/>
    <numFmt numFmtId="167" formatCode="0.00000"/>
    <numFmt numFmtId="168" formatCode="#,##0.0000"/>
    <numFmt numFmtId="169" formatCode="0;[Red]0"/>
    <numFmt numFmtId="170" formatCode="#,##0;[Red]#,##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u val="single"/>
      <sz val="11"/>
      <color indexed="12"/>
      <name val="Arial"/>
      <family val="2"/>
    </font>
    <font>
      <b/>
      <sz val="10"/>
      <name val="Times New Roman"/>
      <family val="1"/>
    </font>
    <font>
      <b/>
      <sz val="8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name val="Ottawa"/>
      <family val="2"/>
    </font>
    <font>
      <u val="single"/>
      <sz val="10"/>
      <name val="Arial"/>
      <family val="2"/>
    </font>
    <font>
      <sz val="11"/>
      <color indexed="10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Continuous" vertical="center" wrapText="1"/>
    </xf>
    <xf numFmtId="0" fontId="0" fillId="0" borderId="13" xfId="0" applyBorder="1" applyAlignment="1">
      <alignment/>
    </xf>
    <xf numFmtId="0" fontId="0" fillId="33" borderId="0" xfId="0" applyFill="1" applyBorder="1" applyAlignment="1">
      <alignment/>
    </xf>
    <xf numFmtId="0" fontId="4" fillId="0" borderId="0" xfId="0" applyFont="1" applyAlignment="1">
      <alignment/>
    </xf>
    <xf numFmtId="0" fontId="7" fillId="0" borderId="0" xfId="53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vertical="center" wrapText="1"/>
    </xf>
    <xf numFmtId="3" fontId="2" fillId="0" borderId="13" xfId="0" applyNumberFormat="1" applyFont="1" applyBorder="1" applyAlignment="1">
      <alignment/>
    </xf>
    <xf numFmtId="3" fontId="2" fillId="33" borderId="12" xfId="0" applyNumberFormat="1" applyFont="1" applyFill="1" applyBorder="1" applyAlignment="1">
      <alignment/>
    </xf>
    <xf numFmtId="3" fontId="2" fillId="0" borderId="19" xfId="0" applyNumberFormat="1" applyFont="1" applyBorder="1" applyAlignment="1">
      <alignment/>
    </xf>
    <xf numFmtId="3" fontId="0" fillId="33" borderId="12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2" fillId="0" borderId="0" xfId="0" applyNumberFormat="1" applyFont="1" applyAlignment="1">
      <alignment horizontal="center" vertical="center" wrapText="1"/>
    </xf>
    <xf numFmtId="164" fontId="8" fillId="0" borderId="22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33" borderId="24" xfId="0" applyNumberFormat="1" applyFont="1" applyFill="1" applyBorder="1" applyAlignment="1">
      <alignment/>
    </xf>
    <xf numFmtId="4" fontId="2" fillId="0" borderId="25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33" borderId="22" xfId="0" applyNumberFormat="1" applyFont="1" applyFill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164" fontId="2" fillId="34" borderId="22" xfId="0" applyNumberFormat="1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5" xfId="0" applyFont="1" applyBorder="1" applyAlignment="1">
      <alignment/>
    </xf>
    <xf numFmtId="164" fontId="2" fillId="0" borderId="28" xfId="0" applyNumberFormat="1" applyFont="1" applyBorder="1" applyAlignment="1">
      <alignment/>
    </xf>
    <xf numFmtId="0" fontId="2" fillId="0" borderId="23" xfId="0" applyFont="1" applyBorder="1" applyAlignment="1">
      <alignment/>
    </xf>
    <xf numFmtId="165" fontId="2" fillId="33" borderId="26" xfId="0" applyNumberFormat="1" applyFont="1" applyFill="1" applyBorder="1" applyAlignment="1">
      <alignment/>
    </xf>
    <xf numFmtId="164" fontId="2" fillId="0" borderId="15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4" fontId="2" fillId="0" borderId="29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3" fontId="8" fillId="0" borderId="34" xfId="0" applyNumberFormat="1" applyFont="1" applyBorder="1" applyAlignment="1">
      <alignment/>
    </xf>
    <xf numFmtId="164" fontId="2" fillId="33" borderId="32" xfId="0" applyNumberFormat="1" applyFont="1" applyFill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35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164" fontId="2" fillId="0" borderId="33" xfId="0" applyNumberFormat="1" applyFont="1" applyBorder="1" applyAlignment="1">
      <alignment/>
    </xf>
    <xf numFmtId="3" fontId="2" fillId="0" borderId="36" xfId="0" applyNumberFormat="1" applyFont="1" applyFill="1" applyBorder="1" applyAlignment="1">
      <alignment/>
    </xf>
    <xf numFmtId="164" fontId="2" fillId="0" borderId="36" xfId="0" applyNumberFormat="1" applyFont="1" applyBorder="1" applyAlignment="1">
      <alignment/>
    </xf>
    <xf numFmtId="0" fontId="0" fillId="0" borderId="36" xfId="0" applyFont="1" applyBorder="1" applyAlignment="1">
      <alignment/>
    </xf>
    <xf numFmtId="164" fontId="0" fillId="0" borderId="36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164" fontId="2" fillId="0" borderId="22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2" fillId="0" borderId="18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3" fontId="8" fillId="0" borderId="42" xfId="0" applyNumberFormat="1" applyFont="1" applyBorder="1" applyAlignment="1">
      <alignment/>
    </xf>
    <xf numFmtId="164" fontId="2" fillId="0" borderId="43" xfId="0" applyNumberFormat="1" applyFont="1" applyBorder="1" applyAlignment="1">
      <alignment/>
    </xf>
    <xf numFmtId="164" fontId="2" fillId="0" borderId="42" xfId="0" applyNumberFormat="1" applyFont="1" applyBorder="1" applyAlignment="1">
      <alignment/>
    </xf>
    <xf numFmtId="164" fontId="2" fillId="0" borderId="44" xfId="0" applyNumberFormat="1" applyFont="1" applyBorder="1" applyAlignment="1">
      <alignment/>
    </xf>
    <xf numFmtId="3" fontId="8" fillId="0" borderId="45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45" xfId="0" applyNumberFormat="1" applyFont="1" applyBorder="1" applyAlignment="1">
      <alignment/>
    </xf>
    <xf numFmtId="0" fontId="2" fillId="0" borderId="32" xfId="0" applyFont="1" applyBorder="1" applyAlignment="1">
      <alignment/>
    </xf>
    <xf numFmtId="164" fontId="9" fillId="0" borderId="44" xfId="0" applyNumberFormat="1" applyFont="1" applyBorder="1" applyAlignment="1">
      <alignment/>
    </xf>
    <xf numFmtId="164" fontId="6" fillId="0" borderId="45" xfId="0" applyNumberFormat="1" applyFont="1" applyBorder="1" applyAlignment="1">
      <alignment/>
    </xf>
    <xf numFmtId="3" fontId="2" fillId="0" borderId="45" xfId="0" applyNumberFormat="1" applyFont="1" applyBorder="1" applyAlignment="1">
      <alignment/>
    </xf>
    <xf numFmtId="3" fontId="2" fillId="0" borderId="46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46" xfId="0" applyNumberFormat="1" applyFont="1" applyBorder="1" applyAlignment="1">
      <alignment/>
    </xf>
    <xf numFmtId="164" fontId="2" fillId="0" borderId="47" xfId="0" applyNumberFormat="1" applyFont="1" applyBorder="1" applyAlignment="1">
      <alignment/>
    </xf>
    <xf numFmtId="0" fontId="2" fillId="0" borderId="48" xfId="0" applyFont="1" applyBorder="1" applyAlignment="1">
      <alignment/>
    </xf>
    <xf numFmtId="3" fontId="2" fillId="0" borderId="49" xfId="0" applyNumberFormat="1" applyFont="1" applyBorder="1" applyAlignment="1">
      <alignment/>
    </xf>
    <xf numFmtId="3" fontId="8" fillId="33" borderId="37" xfId="0" applyNumberFormat="1" applyFont="1" applyFill="1" applyBorder="1" applyAlignment="1">
      <alignment/>
    </xf>
    <xf numFmtId="164" fontId="10" fillId="33" borderId="12" xfId="0" applyNumberFormat="1" applyFont="1" applyFill="1" applyBorder="1" applyAlignment="1">
      <alignment horizontal="right"/>
    </xf>
    <xf numFmtId="164" fontId="10" fillId="33" borderId="37" xfId="0" applyNumberFormat="1" applyFont="1" applyFill="1" applyBorder="1" applyAlignment="1">
      <alignment horizontal="right"/>
    </xf>
    <xf numFmtId="164" fontId="10" fillId="33" borderId="37" xfId="0" applyNumberFormat="1" applyFont="1" applyFill="1" applyBorder="1" applyAlignment="1">
      <alignment/>
    </xf>
    <xf numFmtId="3" fontId="2" fillId="0" borderId="50" xfId="0" applyNumberFormat="1" applyFont="1" applyFill="1" applyBorder="1" applyAlignment="1">
      <alignment/>
    </xf>
    <xf numFmtId="164" fontId="2" fillId="0" borderId="51" xfId="0" applyNumberFormat="1" applyFont="1" applyBorder="1" applyAlignment="1">
      <alignment/>
    </xf>
    <xf numFmtId="0" fontId="0" fillId="0" borderId="34" xfId="0" applyFont="1" applyBorder="1" applyAlignment="1">
      <alignment/>
    </xf>
    <xf numFmtId="164" fontId="0" fillId="0" borderId="50" xfId="0" applyNumberFormat="1" applyFont="1" applyFill="1" applyBorder="1" applyAlignment="1">
      <alignment/>
    </xf>
    <xf numFmtId="164" fontId="9" fillId="0" borderId="37" xfId="0" applyNumberFormat="1" applyFont="1" applyBorder="1" applyAlignment="1">
      <alignment/>
    </xf>
    <xf numFmtId="164" fontId="9" fillId="0" borderId="11" xfId="0" applyNumberFormat="1" applyFont="1" applyBorder="1" applyAlignment="1">
      <alignment/>
    </xf>
    <xf numFmtId="0" fontId="6" fillId="0" borderId="32" xfId="0" applyFont="1" applyBorder="1" applyAlignment="1">
      <alignment horizontal="right"/>
    </xf>
    <xf numFmtId="0" fontId="1" fillId="0" borderId="22" xfId="0" applyFont="1" applyBorder="1" applyAlignment="1">
      <alignment vertical="center" wrapText="1"/>
    </xf>
    <xf numFmtId="3" fontId="11" fillId="0" borderId="0" xfId="0" applyNumberFormat="1" applyFont="1" applyAlignment="1">
      <alignment wrapText="1"/>
    </xf>
    <xf numFmtId="164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3" fontId="2" fillId="0" borderId="43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2" fillId="33" borderId="21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4" fontId="4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centerContinuous" vertical="center" wrapText="1"/>
    </xf>
    <xf numFmtId="0" fontId="0" fillId="0" borderId="1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3" xfId="0" applyFon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12" xfId="0" applyFont="1" applyBorder="1" applyAlignment="1">
      <alignment horizontal="centerContinuous"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56" xfId="0" applyFont="1" applyBorder="1" applyAlignment="1">
      <alignment/>
    </xf>
    <xf numFmtId="0" fontId="13" fillId="35" borderId="0" xfId="0" applyFont="1" applyFill="1" applyAlignment="1">
      <alignment horizontal="left"/>
    </xf>
    <xf numFmtId="164" fontId="2" fillId="0" borderId="28" xfId="0" applyNumberFormat="1" applyFont="1" applyBorder="1" applyAlignment="1">
      <alignment/>
    </xf>
    <xf numFmtId="4" fontId="13" fillId="35" borderId="0" xfId="0" applyNumberFormat="1" applyFont="1" applyFill="1" applyBorder="1" applyAlignment="1">
      <alignment/>
    </xf>
    <xf numFmtId="4" fontId="2" fillId="35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4" fontId="2" fillId="0" borderId="0" xfId="0" applyNumberFormat="1" applyFont="1" applyBorder="1" applyAlignment="1">
      <alignment/>
    </xf>
    <xf numFmtId="1" fontId="2" fillId="0" borderId="57" xfId="0" applyNumberFormat="1" applyFont="1" applyBorder="1" applyAlignment="1">
      <alignment horizontal="center" vertical="center" wrapText="1"/>
    </xf>
    <xf numFmtId="3" fontId="2" fillId="0" borderId="58" xfId="0" applyNumberFormat="1" applyFont="1" applyBorder="1" applyAlignment="1">
      <alignment horizontal="centerContinuous" vertical="center" wrapText="1"/>
    </xf>
    <xf numFmtId="0" fontId="0" fillId="0" borderId="12" xfId="0" applyFont="1" applyBorder="1" applyAlignment="1">
      <alignment horizontal="centerContinuous"/>
    </xf>
    <xf numFmtId="0" fontId="0" fillId="0" borderId="11" xfId="0" applyFont="1" applyBorder="1" applyAlignment="1">
      <alignment/>
    </xf>
    <xf numFmtId="0" fontId="0" fillId="0" borderId="52" xfId="0" applyFont="1" applyBorder="1" applyAlignment="1">
      <alignment/>
    </xf>
    <xf numFmtId="1" fontId="2" fillId="33" borderId="57" xfId="0" applyNumberFormat="1" applyFont="1" applyFill="1" applyBorder="1" applyAlignment="1">
      <alignment horizontal="center"/>
    </xf>
    <xf numFmtId="4" fontId="2" fillId="33" borderId="57" xfId="0" applyNumberFormat="1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3" fontId="14" fillId="33" borderId="12" xfId="0" applyNumberFormat="1" applyFont="1" applyFill="1" applyBorder="1" applyAlignment="1">
      <alignment/>
    </xf>
    <xf numFmtId="3" fontId="2" fillId="33" borderId="37" xfId="0" applyNumberFormat="1" applyFont="1" applyFill="1" applyBorder="1" applyAlignment="1">
      <alignment/>
    </xf>
    <xf numFmtId="2" fontId="2" fillId="0" borderId="37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/>
    </xf>
    <xf numFmtId="3" fontId="2" fillId="0" borderId="38" xfId="0" applyNumberFormat="1" applyFont="1" applyBorder="1" applyAlignment="1">
      <alignment horizontal="centerContinuous" vertical="center" wrapText="1"/>
    </xf>
    <xf numFmtId="0" fontId="2" fillId="0" borderId="59" xfId="0" applyFont="1" applyBorder="1" applyAlignment="1">
      <alignment horizontal="centerContinuous"/>
    </xf>
    <xf numFmtId="3" fontId="2" fillId="35" borderId="37" xfId="0" applyNumberFormat="1" applyFont="1" applyFill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/>
    </xf>
    <xf numFmtId="3" fontId="0" fillId="35" borderId="55" xfId="0" applyNumberFormat="1" applyFont="1" applyFill="1" applyBorder="1" applyAlignment="1">
      <alignment/>
    </xf>
    <xf numFmtId="3" fontId="0" fillId="0" borderId="55" xfId="0" applyNumberFormat="1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5" xfId="0" applyNumberFormat="1" applyFont="1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44" xfId="0" applyFont="1" applyBorder="1" applyAlignment="1">
      <alignment horizontal="left"/>
    </xf>
    <xf numFmtId="3" fontId="0" fillId="35" borderId="22" xfId="0" applyNumberFormat="1" applyFont="1" applyFill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44" xfId="0" applyFont="1" applyBorder="1" applyAlignment="1">
      <alignment horizontal="center"/>
    </xf>
    <xf numFmtId="0" fontId="0" fillId="0" borderId="62" xfId="0" applyFont="1" applyBorder="1" applyAlignment="1">
      <alignment/>
    </xf>
    <xf numFmtId="0" fontId="0" fillId="0" borderId="32" xfId="0" applyFont="1" applyBorder="1" applyAlignment="1">
      <alignment/>
    </xf>
    <xf numFmtId="4" fontId="0" fillId="0" borderId="32" xfId="0" applyNumberFormat="1" applyFont="1" applyBorder="1" applyAlignment="1">
      <alignment/>
    </xf>
    <xf numFmtId="0" fontId="0" fillId="35" borderId="44" xfId="0" applyFont="1" applyFill="1" applyBorder="1" applyAlignment="1">
      <alignment horizontal="center"/>
    </xf>
    <xf numFmtId="0" fontId="0" fillId="35" borderId="32" xfId="0" applyFont="1" applyFill="1" applyBorder="1" applyAlignment="1">
      <alignment/>
    </xf>
    <xf numFmtId="0" fontId="0" fillId="35" borderId="40" xfId="0" applyFont="1" applyFill="1" applyBorder="1" applyAlignment="1">
      <alignment horizontal="center"/>
    </xf>
    <xf numFmtId="0" fontId="0" fillId="35" borderId="63" xfId="0" applyFont="1" applyFill="1" applyBorder="1" applyAlignment="1">
      <alignment/>
    </xf>
    <xf numFmtId="0" fontId="0" fillId="35" borderId="44" xfId="0" applyFont="1" applyFill="1" applyBorder="1" applyAlignment="1">
      <alignment/>
    </xf>
    <xf numFmtId="165" fontId="0" fillId="35" borderId="22" xfId="0" applyNumberFormat="1" applyFont="1" applyFill="1" applyBorder="1" applyAlignment="1">
      <alignment/>
    </xf>
    <xf numFmtId="165" fontId="0" fillId="0" borderId="22" xfId="0" applyNumberFormat="1" applyFont="1" applyBorder="1" applyAlignment="1">
      <alignment/>
    </xf>
    <xf numFmtId="4" fontId="0" fillId="0" borderId="35" xfId="0" applyNumberFormat="1" applyFont="1" applyBorder="1" applyAlignment="1">
      <alignment/>
    </xf>
    <xf numFmtId="0" fontId="0" fillId="0" borderId="64" xfId="0" applyFont="1" applyBorder="1" applyAlignment="1">
      <alignment horizontal="center"/>
    </xf>
    <xf numFmtId="0" fontId="0" fillId="0" borderId="48" xfId="0" applyFont="1" applyBorder="1" applyAlignment="1">
      <alignment/>
    </xf>
    <xf numFmtId="165" fontId="0" fillId="35" borderId="56" xfId="0" applyNumberFormat="1" applyFont="1" applyFill="1" applyBorder="1" applyAlignment="1">
      <alignment/>
    </xf>
    <xf numFmtId="165" fontId="0" fillId="0" borderId="56" xfId="0" applyNumberFormat="1" applyFont="1" applyBorder="1" applyAlignment="1">
      <alignment/>
    </xf>
    <xf numFmtId="0" fontId="0" fillId="0" borderId="49" xfId="0" applyFont="1" applyBorder="1" applyAlignment="1">
      <alignment/>
    </xf>
    <xf numFmtId="0" fontId="2" fillId="33" borderId="37" xfId="0" applyFont="1" applyFill="1" applyBorder="1" applyAlignment="1">
      <alignment/>
    </xf>
    <xf numFmtId="0" fontId="2" fillId="33" borderId="64" xfId="0" applyFont="1" applyFill="1" applyBorder="1" applyAlignment="1">
      <alignment/>
    </xf>
    <xf numFmtId="0" fontId="0" fillId="33" borderId="65" xfId="0" applyFont="1" applyFill="1" applyBorder="1" applyAlignment="1">
      <alignment/>
    </xf>
    <xf numFmtId="3" fontId="2" fillId="33" borderId="65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16" xfId="0" applyFont="1" applyBorder="1" applyAlignment="1">
      <alignment/>
    </xf>
    <xf numFmtId="3" fontId="0" fillId="35" borderId="43" xfId="0" applyNumberFormat="1" applyFont="1" applyFill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14" xfId="0" applyNumberFormat="1" applyFont="1" applyBorder="1" applyAlignment="1">
      <alignment vertical="center" wrapText="1"/>
    </xf>
    <xf numFmtId="0" fontId="0" fillId="0" borderId="65" xfId="0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66" xfId="0" applyNumberFormat="1" applyFont="1" applyBorder="1" applyAlignment="1">
      <alignment vertical="center" wrapText="1"/>
    </xf>
    <xf numFmtId="3" fontId="2" fillId="33" borderId="59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164" fontId="2" fillId="33" borderId="59" xfId="0" applyNumberFormat="1" applyFont="1" applyFill="1" applyBorder="1" applyAlignment="1">
      <alignment/>
    </xf>
    <xf numFmtId="0" fontId="2" fillId="33" borderId="59" xfId="0" applyFont="1" applyFill="1" applyBorder="1" applyAlignment="1">
      <alignment/>
    </xf>
    <xf numFmtId="1" fontId="0" fillId="0" borderId="28" xfId="0" applyNumberFormat="1" applyFont="1" applyBorder="1" applyAlignment="1">
      <alignment horizontal="center"/>
    </xf>
    <xf numFmtId="4" fontId="2" fillId="33" borderId="38" xfId="0" applyNumberFormat="1" applyFont="1" applyFill="1" applyBorder="1" applyAlignment="1">
      <alignment/>
    </xf>
    <xf numFmtId="1" fontId="0" fillId="0" borderId="60" xfId="0" applyNumberFormat="1" applyFont="1" applyBorder="1" applyAlignment="1">
      <alignment horizontal="center"/>
    </xf>
    <xf numFmtId="1" fontId="0" fillId="0" borderId="44" xfId="0" applyNumberFormat="1" applyFont="1" applyBorder="1" applyAlignment="1">
      <alignment horizontal="center"/>
    </xf>
    <xf numFmtId="1" fontId="0" fillId="0" borderId="47" xfId="0" applyNumberFormat="1" applyFont="1" applyBorder="1" applyAlignment="1">
      <alignment horizontal="center"/>
    </xf>
    <xf numFmtId="3" fontId="0" fillId="35" borderId="35" xfId="0" applyNumberFormat="1" applyFont="1" applyFill="1" applyBorder="1" applyAlignment="1">
      <alignment/>
    </xf>
    <xf numFmtId="3" fontId="0" fillId="35" borderId="33" xfId="0" applyNumberFormat="1" applyFont="1" applyFill="1" applyBorder="1" applyAlignment="1">
      <alignment/>
    </xf>
    <xf numFmtId="4" fontId="0" fillId="35" borderId="35" xfId="0" applyNumberFormat="1" applyFont="1" applyFill="1" applyBorder="1" applyAlignment="1">
      <alignment/>
    </xf>
    <xf numFmtId="4" fontId="0" fillId="35" borderId="33" xfId="0" applyNumberFormat="1" applyFont="1" applyFill="1" applyBorder="1" applyAlignment="1">
      <alignment/>
    </xf>
    <xf numFmtId="4" fontId="0" fillId="35" borderId="67" xfId="0" applyNumberFormat="1" applyFont="1" applyFill="1" applyBorder="1" applyAlignment="1">
      <alignment/>
    </xf>
    <xf numFmtId="4" fontId="0" fillId="0" borderId="41" xfId="0" applyNumberFormat="1" applyFont="1" applyBorder="1" applyAlignment="1">
      <alignment/>
    </xf>
    <xf numFmtId="0" fontId="0" fillId="0" borderId="68" xfId="0" applyFont="1" applyBorder="1" applyAlignment="1">
      <alignment/>
    </xf>
    <xf numFmtId="4" fontId="0" fillId="0" borderId="44" xfId="0" applyNumberFormat="1" applyFont="1" applyBorder="1" applyAlignment="1">
      <alignment/>
    </xf>
    <xf numFmtId="0" fontId="0" fillId="0" borderId="33" xfId="0" applyFont="1" applyBorder="1" applyAlignment="1">
      <alignment/>
    </xf>
    <xf numFmtId="4" fontId="0" fillId="0" borderId="69" xfId="0" applyNumberFormat="1" applyFont="1" applyBorder="1" applyAlignment="1">
      <alignment/>
    </xf>
    <xf numFmtId="0" fontId="0" fillId="0" borderId="67" xfId="0" applyFont="1" applyBorder="1" applyAlignment="1">
      <alignment/>
    </xf>
    <xf numFmtId="3" fontId="0" fillId="0" borderId="70" xfId="0" applyNumberFormat="1" applyFont="1" applyBorder="1" applyAlignment="1">
      <alignment horizontal="centerContinuous" vertical="center" wrapText="1"/>
    </xf>
    <xf numFmtId="1" fontId="0" fillId="0" borderId="37" xfId="0" applyNumberFormat="1" applyFont="1" applyBorder="1" applyAlignment="1">
      <alignment horizontal="center"/>
    </xf>
    <xf numFmtId="3" fontId="0" fillId="35" borderId="37" xfId="0" applyNumberFormat="1" applyFont="1" applyFill="1" applyBorder="1" applyAlignment="1">
      <alignment horizontal="center"/>
    </xf>
    <xf numFmtId="0" fontId="2" fillId="0" borderId="37" xfId="0" applyFont="1" applyBorder="1" applyAlignment="1">
      <alignment horizontal="center" vertical="center" wrapText="1"/>
    </xf>
    <xf numFmtId="170" fontId="2" fillId="33" borderId="39" xfId="0" applyNumberFormat="1" applyFont="1" applyFill="1" applyBorder="1" applyAlignment="1">
      <alignment vertical="center" wrapText="1"/>
    </xf>
    <xf numFmtId="170" fontId="0" fillId="0" borderId="30" xfId="0" applyNumberFormat="1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/>
    </xf>
    <xf numFmtId="164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64" fontId="0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2" fillId="0" borderId="0" xfId="0" applyFont="1" applyBorder="1" applyAlignment="1">
      <alignment/>
    </xf>
    <xf numFmtId="0" fontId="2" fillId="33" borderId="59" xfId="0" applyFont="1" applyFill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33" borderId="12" xfId="0" applyFont="1" applyFill="1" applyBorder="1" applyAlignment="1">
      <alignment/>
    </xf>
    <xf numFmtId="1" fontId="0" fillId="0" borderId="42" xfId="0" applyNumberFormat="1" applyFont="1" applyFill="1" applyBorder="1" applyAlignment="1">
      <alignment horizontal="center"/>
    </xf>
    <xf numFmtId="1" fontId="0" fillId="0" borderId="45" xfId="0" applyNumberFormat="1" applyFont="1" applyFill="1" applyBorder="1" applyAlignment="1">
      <alignment horizontal="center"/>
    </xf>
    <xf numFmtId="1" fontId="0" fillId="0" borderId="71" xfId="0" applyNumberFormat="1" applyFont="1" applyFill="1" applyBorder="1" applyAlignment="1">
      <alignment horizontal="center"/>
    </xf>
    <xf numFmtId="1" fontId="0" fillId="0" borderId="37" xfId="0" applyNumberFormat="1" applyFont="1" applyFill="1" applyBorder="1" applyAlignment="1">
      <alignment/>
    </xf>
    <xf numFmtId="0" fontId="4" fillId="0" borderId="0" xfId="0" applyFont="1" applyAlignment="1">
      <alignment horizontal="justify" vertical="top" wrapText="1"/>
    </xf>
    <xf numFmtId="0" fontId="2" fillId="0" borderId="7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69" xfId="0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2" fillId="33" borderId="4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2" fillId="0" borderId="73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33" borderId="38" xfId="0" applyFont="1" applyFill="1" applyBorder="1" applyAlignment="1">
      <alignment vertical="center" wrapText="1"/>
    </xf>
    <xf numFmtId="0" fontId="2" fillId="33" borderId="58" xfId="0" applyFont="1" applyFill="1" applyBorder="1" applyAlignment="1">
      <alignment vertical="center" wrapText="1"/>
    </xf>
    <xf numFmtId="0" fontId="2" fillId="33" borderId="74" xfId="0" applyFont="1" applyFill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63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2" fontId="2" fillId="0" borderId="57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33" borderId="57" xfId="0" applyFont="1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2003\2.korporativno%20odeljenje\Documents%20and%20Settings\pera\Local%20Settings\Temporary%20Internet%20Files\Content.IE5\S5QRM5M5\MES%20%20PR%20REA%20%20%20I%20-%20III%20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"/>
      <sheetName val="PR"/>
      <sheetName val="mPR"/>
      <sheetName val="UK.RE"/>
      <sheetName val="RE-T"/>
      <sheetName val="mR-d"/>
      <sheetName val="mR-i"/>
      <sheetName val="VR.R"/>
      <sheetName val="vr-d"/>
      <sheetName val="vr-in"/>
      <sheetName val="NLD"/>
      <sheetName val="mBZ"/>
      <sheetName val="En"/>
      <sheetName val="Enm"/>
      <sheetName val="RdK-V"/>
      <sheetName val="RizK-V"/>
      <sheetName val="+"/>
      <sheetName val="Pri"/>
      <sheetName val="Ras"/>
      <sheetName val="Akt"/>
      <sheetName val="Pas"/>
      <sheetName val="Knj.10"/>
      <sheetName val="Knj.I-V"/>
      <sheetName val="Proizv-Nik"/>
      <sheetName val="Sheet1"/>
      <sheetName val="0"/>
    </sheetNames>
    <sheetDataSet>
      <sheetData sheetId="1">
        <row r="9">
          <cell r="G9">
            <v>49725.47</v>
          </cell>
        </row>
        <row r="13">
          <cell r="G13">
            <v>8992</v>
          </cell>
        </row>
        <row r="14">
          <cell r="G14">
            <v>176.07999999999998</v>
          </cell>
        </row>
        <row r="15">
          <cell r="G15">
            <v>27632.46</v>
          </cell>
        </row>
        <row r="17">
          <cell r="G17">
            <v>424.5</v>
          </cell>
        </row>
        <row r="18">
          <cell r="G18">
            <v>1374.2000000000003</v>
          </cell>
        </row>
        <row r="19">
          <cell r="G19">
            <v>2270.025</v>
          </cell>
        </row>
        <row r="21">
          <cell r="G21">
            <v>3328.84</v>
          </cell>
        </row>
        <row r="25">
          <cell r="G25">
            <v>71.73</v>
          </cell>
        </row>
        <row r="27">
          <cell r="G27">
            <v>0.257</v>
          </cell>
        </row>
        <row r="28">
          <cell r="G28">
            <v>1.056</v>
          </cell>
        </row>
        <row r="29">
          <cell r="G29">
            <v>5.754</v>
          </cell>
        </row>
      </sheetData>
      <sheetData sheetId="3">
        <row r="8">
          <cell r="G8">
            <v>9911.8</v>
          </cell>
        </row>
        <row r="9">
          <cell r="G9">
            <v>190.39564</v>
          </cell>
        </row>
        <row r="10">
          <cell r="G10">
            <v>30048.405779999997</v>
          </cell>
        </row>
        <row r="11">
          <cell r="G11">
            <v>846.4</v>
          </cell>
        </row>
        <row r="12">
          <cell r="G12">
            <v>436.22</v>
          </cell>
        </row>
        <row r="13">
          <cell r="G13">
            <v>1376.16</v>
          </cell>
        </row>
        <row r="14">
          <cell r="G14">
            <v>1978.2150000000001</v>
          </cell>
        </row>
        <row r="16">
          <cell r="G16">
            <v>3397.4664</v>
          </cell>
        </row>
        <row r="20">
          <cell r="G20">
            <v>47.459999999999994</v>
          </cell>
        </row>
        <row r="22">
          <cell r="G22">
            <v>0.207</v>
          </cell>
        </row>
        <row r="23">
          <cell r="G23">
            <v>4.6988</v>
          </cell>
        </row>
        <row r="24">
          <cell r="G24">
            <v>1.048</v>
          </cell>
        </row>
      </sheetData>
      <sheetData sheetId="4">
        <row r="9">
          <cell r="G9">
            <v>72.72064000000002</v>
          </cell>
        </row>
        <row r="11">
          <cell r="G11">
            <v>846.4</v>
          </cell>
        </row>
        <row r="13">
          <cell r="G13">
            <v>0.7</v>
          </cell>
        </row>
        <row r="14">
          <cell r="G14">
            <v>479.515</v>
          </cell>
        </row>
        <row r="16">
          <cell r="G16">
            <v>434.57640000000004</v>
          </cell>
        </row>
        <row r="18">
          <cell r="G18">
            <v>12.66</v>
          </cell>
        </row>
        <row r="20">
          <cell r="G20">
            <v>0.207</v>
          </cell>
        </row>
        <row r="21">
          <cell r="G21">
            <v>4.6988</v>
          </cell>
        </row>
        <row r="22">
          <cell r="G22">
            <v>1.048</v>
          </cell>
        </row>
        <row r="27">
          <cell r="G27">
            <v>2004.52</v>
          </cell>
        </row>
        <row r="28">
          <cell r="G28">
            <v>117.67499999999997</v>
          </cell>
        </row>
        <row r="29">
          <cell r="G29">
            <v>241.76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1375.46</v>
          </cell>
        </row>
        <row r="33">
          <cell r="G33">
            <v>1498.7</v>
          </cell>
        </row>
        <row r="35">
          <cell r="G35">
            <v>2962.89</v>
          </cell>
        </row>
        <row r="37">
          <cell r="G37">
            <v>34.8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</sheetData>
      <sheetData sheetId="17">
        <row r="48">
          <cell r="H48">
            <v>3102.7441300000005</v>
          </cell>
        </row>
      </sheetData>
      <sheetData sheetId="18">
        <row r="28">
          <cell r="G28">
            <v>35315.667969999995</v>
          </cell>
        </row>
        <row r="35">
          <cell r="G35">
            <v>69939.92972</v>
          </cell>
        </row>
        <row r="44">
          <cell r="G44">
            <v>87484.63558999999</v>
          </cell>
        </row>
        <row r="69">
          <cell r="G69">
            <v>55809.13123</v>
          </cell>
        </row>
        <row r="91">
          <cell r="G91">
            <v>37112.06541</v>
          </cell>
        </row>
        <row r="94">
          <cell r="G94">
            <v>31560.077330000004</v>
          </cell>
        </row>
        <row r="124">
          <cell r="G124">
            <v>427535.41847000003</v>
          </cell>
        </row>
        <row r="125">
          <cell r="G125">
            <v>76512.56521</v>
          </cell>
        </row>
        <row r="137">
          <cell r="G137">
            <v>13232.30954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yaprotein.com/" TargetMode="External" /><Relationship Id="rId2" Type="http://schemas.openxmlformats.org/officeDocument/2006/relationships/hyperlink" Target="mailto:office@soyaprotein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4"/>
  <sheetViews>
    <sheetView tabSelected="1" zoomScalePageLayoutView="0" workbookViewId="0" topLeftCell="A70">
      <selection activeCell="S80" sqref="S80"/>
    </sheetView>
  </sheetViews>
  <sheetFormatPr defaultColWidth="9.140625" defaultRowHeight="12.75"/>
  <cols>
    <col min="1" max="1" width="5.140625" style="0" customWidth="1"/>
    <col min="2" max="2" width="9.57421875" style="0" customWidth="1"/>
    <col min="3" max="3" width="10.8515625" style="0" customWidth="1"/>
    <col min="4" max="4" width="11.00390625" style="0" customWidth="1"/>
    <col min="5" max="5" width="10.8515625" style="0" customWidth="1"/>
    <col min="8" max="8" width="12.421875" style="0" customWidth="1"/>
    <col min="9" max="9" width="15.8515625" style="0" customWidth="1"/>
    <col min="10" max="10" width="3.140625" style="0" customWidth="1"/>
    <col min="11" max="11" width="17.140625" style="0" hidden="1" customWidth="1"/>
    <col min="12" max="12" width="11.57421875" style="0" hidden="1" customWidth="1"/>
    <col min="13" max="13" width="13.421875" style="0" hidden="1" customWidth="1"/>
    <col min="14" max="14" width="12.8515625" style="0" hidden="1" customWidth="1"/>
    <col min="15" max="15" width="12.00390625" style="0" hidden="1" customWidth="1"/>
    <col min="16" max="16" width="9.57421875" style="0" hidden="1" customWidth="1"/>
  </cols>
  <sheetData>
    <row r="1" ht="15">
      <c r="A1" s="10" t="s">
        <v>0</v>
      </c>
    </row>
    <row r="2" ht="15">
      <c r="A2" s="10" t="s">
        <v>63</v>
      </c>
    </row>
    <row r="3" ht="15">
      <c r="A3" s="10" t="s">
        <v>64</v>
      </c>
    </row>
    <row r="5" ht="14.25">
      <c r="A5" s="23" t="s">
        <v>65</v>
      </c>
    </row>
    <row r="6" ht="14.25">
      <c r="A6" s="23" t="s">
        <v>66</v>
      </c>
    </row>
    <row r="7" ht="14.25">
      <c r="A7" s="23" t="s">
        <v>67</v>
      </c>
    </row>
    <row r="9" spans="1:9" ht="15">
      <c r="A9" s="36" t="s">
        <v>68</v>
      </c>
      <c r="B9" s="37"/>
      <c r="C9" s="37"/>
      <c r="D9" s="37"/>
      <c r="E9" s="37"/>
      <c r="F9" s="2"/>
      <c r="G9" s="2"/>
      <c r="H9" s="2"/>
      <c r="I9" s="2"/>
    </row>
    <row r="10" spans="1:8" ht="14.25">
      <c r="A10" s="38"/>
      <c r="B10" s="38"/>
      <c r="C10" s="38"/>
      <c r="D10" s="38"/>
      <c r="E10" s="38"/>
      <c r="F10" s="3"/>
      <c r="G10" s="3"/>
      <c r="H10" s="3"/>
    </row>
    <row r="11" spans="1:9" ht="15">
      <c r="A11" s="39" t="s">
        <v>69</v>
      </c>
      <c r="B11" s="37"/>
      <c r="C11" s="37"/>
      <c r="D11" s="37"/>
      <c r="E11" s="37"/>
      <c r="F11" s="2"/>
      <c r="G11" s="2"/>
      <c r="H11" s="2"/>
      <c r="I11" s="2"/>
    </row>
    <row r="12" spans="1:9" ht="15">
      <c r="A12" s="39" t="s">
        <v>70</v>
      </c>
      <c r="B12" s="37"/>
      <c r="C12" s="37"/>
      <c r="D12" s="37"/>
      <c r="E12" s="37"/>
      <c r="F12" s="2"/>
      <c r="G12" s="2"/>
      <c r="H12" s="2"/>
      <c r="I12" s="2"/>
    </row>
    <row r="13" spans="1:9" ht="15">
      <c r="A13" s="39" t="s">
        <v>71</v>
      </c>
      <c r="B13" s="37"/>
      <c r="C13" s="37"/>
      <c r="D13" s="37"/>
      <c r="E13" s="37"/>
      <c r="F13" s="2"/>
      <c r="G13" s="2"/>
      <c r="H13" s="2"/>
      <c r="I13" s="2"/>
    </row>
    <row r="14" spans="1:9" ht="14.25">
      <c r="A14" s="37"/>
      <c r="B14" s="37"/>
      <c r="C14" s="37"/>
      <c r="D14" s="37"/>
      <c r="E14" s="2"/>
      <c r="F14" s="2"/>
      <c r="G14" s="2"/>
      <c r="H14" s="2"/>
      <c r="I14" s="2"/>
    </row>
    <row r="15" ht="12.75">
      <c r="A15" s="26"/>
    </row>
    <row r="16" ht="6" customHeight="1">
      <c r="A16" s="26"/>
    </row>
    <row r="17" spans="1:2" s="26" customFormat="1" ht="21" customHeight="1">
      <c r="A17" s="144" t="s">
        <v>12</v>
      </c>
      <c r="B17" s="1" t="s">
        <v>135</v>
      </c>
    </row>
    <row r="18" spans="1:2" s="26" customFormat="1" ht="16.5" customHeight="1">
      <c r="A18" s="144"/>
      <c r="B18" s="1" t="s">
        <v>136</v>
      </c>
    </row>
    <row r="19" spans="1:2" ht="14.25">
      <c r="A19" s="26"/>
      <c r="B19" s="23" t="s">
        <v>72</v>
      </c>
    </row>
    <row r="20" spans="1:2" ht="14.25">
      <c r="A20" s="26"/>
      <c r="B20" s="23" t="s">
        <v>73</v>
      </c>
    </row>
    <row r="21" spans="1:2" ht="14.25">
      <c r="A21" s="26"/>
      <c r="B21" s="23" t="s">
        <v>74</v>
      </c>
    </row>
    <row r="22" spans="1:2" ht="14.25">
      <c r="A22" s="26"/>
      <c r="B22" s="23" t="s">
        <v>75</v>
      </c>
    </row>
    <row r="23" ht="12.75">
      <c r="A23" s="26"/>
    </row>
    <row r="24" spans="1:2" ht="15">
      <c r="A24" s="27" t="s">
        <v>11</v>
      </c>
      <c r="B24" s="10" t="s">
        <v>76</v>
      </c>
    </row>
    <row r="25" spans="1:2" ht="14.25">
      <c r="A25" s="26"/>
      <c r="B25" s="24" t="s">
        <v>25</v>
      </c>
    </row>
    <row r="26" spans="1:2" ht="14.25">
      <c r="A26" s="26"/>
      <c r="B26" s="24" t="s">
        <v>26</v>
      </c>
    </row>
    <row r="27" ht="12.75">
      <c r="A27" s="26"/>
    </row>
    <row r="28" spans="1:2" ht="15">
      <c r="A28" s="27" t="s">
        <v>13</v>
      </c>
      <c r="B28" s="10" t="s">
        <v>77</v>
      </c>
    </row>
    <row r="29" spans="1:2" ht="14.25">
      <c r="A29" s="26"/>
      <c r="B29" s="12" t="s">
        <v>78</v>
      </c>
    </row>
    <row r="30" ht="12.75">
      <c r="A30" s="26"/>
    </row>
    <row r="31" spans="1:2" ht="15">
      <c r="A31" s="27" t="s">
        <v>14</v>
      </c>
      <c r="B31" s="10" t="s">
        <v>79</v>
      </c>
    </row>
    <row r="32" spans="1:2" ht="14.25">
      <c r="A32" s="26"/>
      <c r="B32" s="12" t="s">
        <v>80</v>
      </c>
    </row>
    <row r="33" spans="1:2" ht="14.25">
      <c r="A33" s="26"/>
      <c r="B33" s="12"/>
    </row>
    <row r="34" spans="1:2" ht="15">
      <c r="A34" s="27" t="s">
        <v>15</v>
      </c>
      <c r="B34" s="10" t="s">
        <v>81</v>
      </c>
    </row>
    <row r="35" ht="14.25">
      <c r="B35" s="12" t="s">
        <v>82</v>
      </c>
    </row>
    <row r="36" ht="14.25">
      <c r="B36" s="12" t="s">
        <v>27</v>
      </c>
    </row>
    <row r="37" ht="14.25">
      <c r="B37" s="12" t="s">
        <v>83</v>
      </c>
    </row>
    <row r="38" ht="14.25">
      <c r="B38" s="12"/>
    </row>
    <row r="39" spans="1:10" ht="15">
      <c r="A39" s="25" t="s">
        <v>16</v>
      </c>
      <c r="B39" s="10" t="s">
        <v>84</v>
      </c>
      <c r="C39" s="1"/>
      <c r="D39" s="1"/>
      <c r="E39" s="1"/>
      <c r="F39" s="1"/>
      <c r="G39" s="1"/>
      <c r="H39" s="1"/>
      <c r="I39" s="1"/>
      <c r="J39" s="1"/>
    </row>
    <row r="40" spans="2:10" ht="15">
      <c r="B40" s="10" t="s">
        <v>138</v>
      </c>
      <c r="C40" s="1"/>
      <c r="D40" s="1"/>
      <c r="E40" s="1"/>
      <c r="F40" s="1"/>
      <c r="G40" s="1"/>
      <c r="H40" s="1"/>
      <c r="I40" s="1"/>
      <c r="J40" s="1"/>
    </row>
    <row r="41" spans="2:10" ht="15">
      <c r="B41" s="10" t="s">
        <v>139</v>
      </c>
      <c r="C41" s="1"/>
      <c r="D41" s="1"/>
      <c r="E41" s="1"/>
      <c r="F41" s="1"/>
      <c r="G41" s="1"/>
      <c r="H41" s="1"/>
      <c r="I41" s="1"/>
      <c r="J41" s="1"/>
    </row>
    <row r="42" spans="2:10" ht="15">
      <c r="B42" s="10" t="s">
        <v>137</v>
      </c>
      <c r="C42" s="1"/>
      <c r="D42" s="1"/>
      <c r="E42" s="1"/>
      <c r="F42" s="1"/>
      <c r="G42" s="1"/>
      <c r="H42" s="1"/>
      <c r="I42" s="1"/>
      <c r="J42" s="1"/>
    </row>
    <row r="43" spans="2:10" ht="15">
      <c r="B43" s="10"/>
      <c r="C43" s="1"/>
      <c r="D43" s="1"/>
      <c r="E43" s="1"/>
      <c r="F43" s="1"/>
      <c r="G43" s="1"/>
      <c r="H43" s="1"/>
      <c r="I43" s="1"/>
      <c r="J43" s="1"/>
    </row>
    <row r="44" spans="2:10" ht="15">
      <c r="B44" s="10"/>
      <c r="C44" s="1"/>
      <c r="D44" s="1"/>
      <c r="E44" s="1"/>
      <c r="F44" s="1"/>
      <c r="G44" s="1"/>
      <c r="H44" s="1"/>
      <c r="I44" s="1"/>
      <c r="J44" s="1"/>
    </row>
    <row r="45" spans="2:10" ht="15">
      <c r="B45" s="10"/>
      <c r="C45" s="1"/>
      <c r="D45" s="1"/>
      <c r="E45" s="1"/>
      <c r="F45" s="1"/>
      <c r="G45" s="1"/>
      <c r="H45" s="1"/>
      <c r="I45" s="1"/>
      <c r="J45" s="1"/>
    </row>
    <row r="46" spans="2:10" ht="15">
      <c r="B46" s="10"/>
      <c r="C46" s="1"/>
      <c r="D46" s="1"/>
      <c r="E46" s="1"/>
      <c r="F46" s="1"/>
      <c r="G46" s="1"/>
      <c r="H46" s="1"/>
      <c r="I46" s="1"/>
      <c r="J46" s="1"/>
    </row>
    <row r="47" spans="2:10" ht="15">
      <c r="B47" s="10"/>
      <c r="C47" s="1"/>
      <c r="D47" s="1"/>
      <c r="E47" s="1"/>
      <c r="F47" s="1"/>
      <c r="G47" s="1"/>
      <c r="H47" s="1"/>
      <c r="I47" s="1"/>
      <c r="J47" s="1"/>
    </row>
    <row r="48" spans="2:10" ht="15">
      <c r="B48" s="10"/>
      <c r="C48" s="1"/>
      <c r="D48" s="1"/>
      <c r="E48" s="1"/>
      <c r="F48" s="1"/>
      <c r="G48" s="1"/>
      <c r="H48" s="1"/>
      <c r="I48" s="1"/>
      <c r="J48" s="1"/>
    </row>
    <row r="49" spans="2:10" ht="15">
      <c r="B49" s="10"/>
      <c r="C49" s="1"/>
      <c r="D49" s="1"/>
      <c r="E49" s="1"/>
      <c r="F49" s="1"/>
      <c r="G49" s="1"/>
      <c r="H49" s="1"/>
      <c r="I49" s="1"/>
      <c r="J49" s="1"/>
    </row>
    <row r="50" spans="2:10" ht="15">
      <c r="B50" s="10"/>
      <c r="C50" s="1"/>
      <c r="D50" s="1"/>
      <c r="E50" s="1"/>
      <c r="F50" s="1"/>
      <c r="G50" s="1"/>
      <c r="H50" s="1"/>
      <c r="I50" s="1"/>
      <c r="J50" s="1"/>
    </row>
    <row r="51" spans="2:10" ht="15">
      <c r="B51" s="10"/>
      <c r="C51" s="1"/>
      <c r="D51" s="1"/>
      <c r="E51" s="1"/>
      <c r="F51" s="1"/>
      <c r="G51" s="1"/>
      <c r="H51" s="1"/>
      <c r="I51" s="1"/>
      <c r="J51" s="1"/>
    </row>
    <row r="54" spans="1:8" s="26" customFormat="1" ht="12.75">
      <c r="A54" s="16" t="s">
        <v>12</v>
      </c>
      <c r="B54" s="170" t="s">
        <v>85</v>
      </c>
      <c r="C54" s="171"/>
      <c r="D54" s="172"/>
      <c r="E54" s="173"/>
      <c r="F54" s="1"/>
      <c r="G54" s="1"/>
      <c r="H54" s="1"/>
    </row>
    <row r="55" spans="1:8" ht="15" thickBot="1">
      <c r="A55" s="8"/>
      <c r="B55" s="152"/>
      <c r="C55" s="9"/>
      <c r="D55" s="6"/>
      <c r="E55" s="7"/>
      <c r="F55" s="151"/>
      <c r="G55" s="151"/>
      <c r="H55" s="153" t="s">
        <v>86</v>
      </c>
    </row>
    <row r="56" spans="1:8" ht="51.75" thickBot="1">
      <c r="A56" s="174" t="s">
        <v>87</v>
      </c>
      <c r="B56" s="175" t="s">
        <v>88</v>
      </c>
      <c r="C56" s="161"/>
      <c r="D56" s="20"/>
      <c r="E56" s="20"/>
      <c r="F56" s="161"/>
      <c r="G56" s="161"/>
      <c r="H56" s="259" t="s">
        <v>89</v>
      </c>
    </row>
    <row r="57" spans="1:8" ht="13.5" thickBot="1">
      <c r="A57" s="257">
        <v>1</v>
      </c>
      <c r="B57" s="256">
        <v>2</v>
      </c>
      <c r="C57" s="176"/>
      <c r="D57" s="154"/>
      <c r="E57" s="154"/>
      <c r="F57" s="176"/>
      <c r="G57" s="176"/>
      <c r="H57" s="258">
        <v>3</v>
      </c>
    </row>
    <row r="58" spans="1:16" ht="13.5" thickBot="1">
      <c r="A58" s="179" t="s">
        <v>1</v>
      </c>
      <c r="B58" s="180" t="s">
        <v>90</v>
      </c>
      <c r="C58" s="159"/>
      <c r="D58" s="45"/>
      <c r="E58" s="159"/>
      <c r="F58" s="159"/>
      <c r="G58" s="239"/>
      <c r="H58" s="238"/>
      <c r="K58" s="50"/>
      <c r="L58" s="51" t="s">
        <v>34</v>
      </c>
      <c r="M58" s="52"/>
      <c r="N58" s="52"/>
      <c r="O58" s="52"/>
      <c r="P58" s="52"/>
    </row>
    <row r="59" spans="1:16" ht="21.75" customHeight="1">
      <c r="A59" s="242">
        <v>1</v>
      </c>
      <c r="B59" s="250" t="s">
        <v>91</v>
      </c>
      <c r="C59" s="157"/>
      <c r="D59" s="181"/>
      <c r="E59" s="29"/>
      <c r="F59" s="157"/>
      <c r="G59" s="251"/>
      <c r="H59" s="245">
        <f>'[1]PR'!G9+M62</f>
        <v>109725.47</v>
      </c>
      <c r="K59" s="50"/>
      <c r="L59" s="53" t="s">
        <v>56</v>
      </c>
      <c r="M59" s="54" t="s">
        <v>55</v>
      </c>
      <c r="N59" s="52"/>
      <c r="O59" s="52"/>
      <c r="P59" s="52"/>
    </row>
    <row r="60" spans="1:16" ht="12.75">
      <c r="A60" s="243">
        <v>2</v>
      </c>
      <c r="B60" s="252" t="s">
        <v>92</v>
      </c>
      <c r="C60" s="155"/>
      <c r="D60" s="155"/>
      <c r="E60" s="177"/>
      <c r="F60" s="155"/>
      <c r="G60" s="253"/>
      <c r="H60" s="246">
        <v>0</v>
      </c>
      <c r="K60" s="50"/>
      <c r="L60" s="50"/>
      <c r="M60" s="55"/>
      <c r="N60" s="52"/>
      <c r="O60" s="52"/>
      <c r="P60" s="52"/>
    </row>
    <row r="61" spans="1:16" ht="13.5" thickBot="1">
      <c r="A61" s="244">
        <v>3</v>
      </c>
      <c r="B61" s="254" t="s">
        <v>93</v>
      </c>
      <c r="C61" s="156"/>
      <c r="D61" s="156"/>
      <c r="E61" s="178"/>
      <c r="F61" s="156"/>
      <c r="G61" s="255"/>
      <c r="H61" s="246">
        <v>0</v>
      </c>
      <c r="K61" s="50"/>
      <c r="L61" s="50"/>
      <c r="M61" s="55"/>
      <c r="N61" s="52"/>
      <c r="O61" s="52"/>
      <c r="P61" s="52"/>
    </row>
    <row r="62" spans="1:16" ht="13.5" thickBot="1">
      <c r="A62" s="240"/>
      <c r="B62" s="241" t="s">
        <v>94</v>
      </c>
      <c r="C62" s="159"/>
      <c r="D62" s="45"/>
      <c r="E62" s="45"/>
      <c r="F62" s="159"/>
      <c r="G62" s="239"/>
      <c r="H62" s="234">
        <f>SUM(H59:H61)</f>
        <v>109725.47</v>
      </c>
      <c r="K62" s="56" t="s">
        <v>2</v>
      </c>
      <c r="L62" s="57">
        <v>77406.804</v>
      </c>
      <c r="M62" s="55">
        <v>60000</v>
      </c>
      <c r="N62" s="52"/>
      <c r="O62" s="52"/>
      <c r="P62" s="52"/>
    </row>
    <row r="63" spans="1:16" ht="13.5" thickBot="1">
      <c r="A63" s="179" t="s">
        <v>3</v>
      </c>
      <c r="B63" s="180" t="s">
        <v>95</v>
      </c>
      <c r="C63" s="159"/>
      <c r="D63" s="45"/>
      <c r="E63" s="159"/>
      <c r="F63" s="159"/>
      <c r="G63" s="239"/>
      <c r="H63" s="234"/>
      <c r="K63" s="50"/>
      <c r="L63" s="50">
        <v>0</v>
      </c>
      <c r="M63" s="55"/>
      <c r="N63" s="52"/>
      <c r="O63" s="52"/>
      <c r="P63" s="52"/>
    </row>
    <row r="64" spans="1:16" ht="13.5" thickBot="1">
      <c r="A64" s="280">
        <v>1</v>
      </c>
      <c r="B64" s="275" t="s">
        <v>96</v>
      </c>
      <c r="C64" s="157"/>
      <c r="D64" s="181"/>
      <c r="E64" s="29"/>
      <c r="F64" s="157"/>
      <c r="G64" s="251"/>
      <c r="H64" s="245">
        <f>'[1]PR'!G13+M67</f>
        <v>20212</v>
      </c>
      <c r="K64" s="50"/>
      <c r="L64" s="50">
        <v>0</v>
      </c>
      <c r="M64" s="55"/>
      <c r="N64" s="52"/>
      <c r="O64" s="52"/>
      <c r="P64" s="52"/>
    </row>
    <row r="65" spans="1:16" ht="12.75">
      <c r="A65" s="281">
        <v>2</v>
      </c>
      <c r="B65" s="276" t="s">
        <v>97</v>
      </c>
      <c r="C65" s="155"/>
      <c r="D65" s="182"/>
      <c r="E65" s="182"/>
      <c r="F65" s="155"/>
      <c r="G65" s="253"/>
      <c r="H65" s="245">
        <f>'[1]PR'!G14+M68</f>
        <v>400.48</v>
      </c>
      <c r="K65" s="50"/>
      <c r="L65" s="58">
        <f>SUM(L62:L64)</f>
        <v>77406.804</v>
      </c>
      <c r="M65" s="55"/>
      <c r="N65" s="52"/>
      <c r="O65" s="52"/>
      <c r="P65" s="52"/>
    </row>
    <row r="66" spans="1:16" ht="12.75">
      <c r="A66" s="281">
        <v>3</v>
      </c>
      <c r="B66" s="275" t="s">
        <v>98</v>
      </c>
      <c r="C66" s="157"/>
      <c r="D66" s="29"/>
      <c r="E66" s="29"/>
      <c r="F66" s="157"/>
      <c r="G66" s="251"/>
      <c r="H66" s="245">
        <f>'[1]PR'!G15+M69</f>
        <v>64493.314</v>
      </c>
      <c r="K66" s="50"/>
      <c r="L66" s="50"/>
      <c r="M66" s="55"/>
      <c r="N66" s="143" t="s">
        <v>62</v>
      </c>
      <c r="O66" s="52"/>
      <c r="P66" s="52"/>
    </row>
    <row r="67" spans="1:16" ht="12.75">
      <c r="A67" s="281">
        <v>4</v>
      </c>
      <c r="B67" s="277" t="s">
        <v>99</v>
      </c>
      <c r="C67" s="155"/>
      <c r="D67" s="182"/>
      <c r="E67" s="182"/>
      <c r="F67" s="155"/>
      <c r="G67" s="253"/>
      <c r="H67" s="245">
        <f>50</f>
        <v>50</v>
      </c>
      <c r="J67" s="19"/>
      <c r="K67" s="59" t="s">
        <v>4</v>
      </c>
      <c r="L67" s="60">
        <v>1693.542</v>
      </c>
      <c r="M67" s="55">
        <f>M62*18.7%</f>
        <v>11220</v>
      </c>
      <c r="N67" s="61">
        <f>SUM(L67:M67)-N88</f>
        <v>1500</v>
      </c>
      <c r="O67" s="62"/>
      <c r="P67" s="52"/>
    </row>
    <row r="68" spans="1:16" ht="12.75">
      <c r="A68" s="281">
        <v>5</v>
      </c>
      <c r="B68" s="275" t="s">
        <v>100</v>
      </c>
      <c r="C68" s="157"/>
      <c r="D68" s="29"/>
      <c r="E68" s="29"/>
      <c r="F68" s="157"/>
      <c r="G68" s="251"/>
      <c r="H68" s="245">
        <f>'[1]PR'!G17+M71</f>
        <v>949</v>
      </c>
      <c r="K68" s="63" t="s">
        <v>5</v>
      </c>
      <c r="L68" s="60">
        <v>125.32</v>
      </c>
      <c r="M68" s="55">
        <f>M67*2%</f>
        <v>224.4</v>
      </c>
      <c r="N68" s="61">
        <f>SUM(L68:M68)-N89</f>
        <v>139.04536000000007</v>
      </c>
      <c r="O68" s="62"/>
      <c r="P68" s="52"/>
    </row>
    <row r="69" spans="1:16" ht="12.75">
      <c r="A69" s="281">
        <v>6</v>
      </c>
      <c r="B69" s="277" t="s">
        <v>101</v>
      </c>
      <c r="C69" s="155"/>
      <c r="D69" s="182"/>
      <c r="E69" s="182"/>
      <c r="F69" s="155"/>
      <c r="G69" s="253"/>
      <c r="H69" s="245">
        <f>'[1]PR'!G18+M72</f>
        <v>2830.8520000000003</v>
      </c>
      <c r="K69" s="59" t="s">
        <v>6</v>
      </c>
      <c r="L69" s="60">
        <v>8174.29</v>
      </c>
      <c r="M69" s="55">
        <v>36860.854</v>
      </c>
      <c r="N69" s="61">
        <f>SUM(L69:M69)-N90</f>
        <v>7000.059999999998</v>
      </c>
      <c r="O69" s="62"/>
      <c r="P69" s="52"/>
    </row>
    <row r="70" spans="1:16" ht="12.75">
      <c r="A70" s="281">
        <v>7</v>
      </c>
      <c r="B70" s="277" t="s">
        <v>102</v>
      </c>
      <c r="C70" s="155"/>
      <c r="D70" s="182"/>
      <c r="E70" s="182"/>
      <c r="F70" s="155"/>
      <c r="G70" s="253"/>
      <c r="H70" s="245">
        <f>'[1]PR'!G19+M73</f>
        <v>4676.2515</v>
      </c>
      <c r="K70" s="64" t="s">
        <v>35</v>
      </c>
      <c r="L70" s="60">
        <v>61.17</v>
      </c>
      <c r="M70" s="55">
        <v>0</v>
      </c>
      <c r="N70" s="61"/>
      <c r="O70" s="62"/>
      <c r="P70" s="52"/>
    </row>
    <row r="71" spans="1:16" ht="12.75">
      <c r="A71" s="281">
        <v>8</v>
      </c>
      <c r="B71" s="275" t="s">
        <v>8</v>
      </c>
      <c r="C71" s="157"/>
      <c r="D71" s="29"/>
      <c r="E71" s="29"/>
      <c r="F71" s="157"/>
      <c r="G71" s="251"/>
      <c r="H71" s="245">
        <f>'[1]PR'!G21+M74</f>
        <v>6857.410400000001</v>
      </c>
      <c r="K71" s="59" t="s">
        <v>31</v>
      </c>
      <c r="L71" s="60">
        <v>4.76</v>
      </c>
      <c r="M71" s="55">
        <f>424.5/3*3+100</f>
        <v>524.5</v>
      </c>
      <c r="N71" s="61">
        <f aca="true" t="shared" si="0" ref="N71:N77">SUM(L71:M71)-N92</f>
        <v>0</v>
      </c>
      <c r="O71" s="62"/>
      <c r="P71" s="52"/>
    </row>
    <row r="72" spans="1:16" ht="12.75">
      <c r="A72" s="281">
        <v>9</v>
      </c>
      <c r="B72" s="177" t="s">
        <v>29</v>
      </c>
      <c r="C72" s="155"/>
      <c r="D72" s="182"/>
      <c r="E72" s="182"/>
      <c r="F72" s="155"/>
      <c r="G72" s="253"/>
      <c r="H72" s="245">
        <f>'[1]PR'!G25+M75</f>
        <v>143.46</v>
      </c>
      <c r="K72" s="64" t="s">
        <v>28</v>
      </c>
      <c r="L72" s="60">
        <v>164.77</v>
      </c>
      <c r="M72" s="55">
        <f>(1374.2/3*3)*1.06</f>
        <v>1456.652</v>
      </c>
      <c r="N72" s="61">
        <f t="shared" si="0"/>
        <v>200</v>
      </c>
      <c r="O72" s="65"/>
      <c r="P72" s="52"/>
    </row>
    <row r="73" spans="1:16" ht="12.75">
      <c r="A73" s="281">
        <v>10</v>
      </c>
      <c r="B73" s="278" t="s">
        <v>9</v>
      </c>
      <c r="C73" s="158"/>
      <c r="D73" s="183"/>
      <c r="E73" s="183"/>
      <c r="F73" s="157"/>
      <c r="G73" s="251"/>
      <c r="H73" s="247">
        <f>'[1]PR'!G27+M76</f>
        <v>0.514</v>
      </c>
      <c r="K73" s="64" t="s">
        <v>7</v>
      </c>
      <c r="L73" s="60">
        <v>807.218</v>
      </c>
      <c r="M73" s="55">
        <f>(2270.025/3*3)*1.06</f>
        <v>2406.2265</v>
      </c>
      <c r="N73" s="61">
        <f t="shared" si="0"/>
        <v>1134.9995</v>
      </c>
      <c r="O73" s="61"/>
      <c r="P73" s="52"/>
    </row>
    <row r="74" spans="1:16" ht="12.75">
      <c r="A74" s="281">
        <v>11</v>
      </c>
      <c r="B74" s="164" t="s">
        <v>103</v>
      </c>
      <c r="C74" s="158"/>
      <c r="D74" s="184"/>
      <c r="E74" s="184"/>
      <c r="F74" s="155"/>
      <c r="G74" s="253"/>
      <c r="H74" s="247">
        <f>'[1]PR'!G28+M77</f>
        <v>2.112</v>
      </c>
      <c r="K74" s="59" t="s">
        <v>8</v>
      </c>
      <c r="L74" s="60">
        <v>1451.352</v>
      </c>
      <c r="M74" s="55">
        <f>(3328.84/3*3)*1.06</f>
        <v>3528.5704000000005</v>
      </c>
      <c r="N74" s="61">
        <f t="shared" si="0"/>
        <v>1500.0000000000005</v>
      </c>
      <c r="O74" s="61"/>
      <c r="P74" s="52"/>
    </row>
    <row r="75" spans="1:16" ht="12.75">
      <c r="A75" s="281">
        <v>12</v>
      </c>
      <c r="B75" s="206" t="s">
        <v>104</v>
      </c>
      <c r="C75" s="155"/>
      <c r="D75" s="184"/>
      <c r="E75" s="184"/>
      <c r="F75" s="155"/>
      <c r="G75" s="253"/>
      <c r="H75" s="248">
        <f>'[1]PR'!G29+M78</f>
        <v>11.508</v>
      </c>
      <c r="K75" s="66" t="s">
        <v>29</v>
      </c>
      <c r="L75" s="60">
        <v>66.989</v>
      </c>
      <c r="M75" s="55">
        <f>71.73/3*3</f>
        <v>71.73</v>
      </c>
      <c r="N75" s="61">
        <f t="shared" si="0"/>
        <v>62.259</v>
      </c>
      <c r="O75" s="61"/>
      <c r="P75" s="52"/>
    </row>
    <row r="76" spans="1:16" ht="13.5" thickBot="1">
      <c r="A76" s="282">
        <v>13</v>
      </c>
      <c r="B76" s="26" t="s">
        <v>163</v>
      </c>
      <c r="C76" s="273"/>
      <c r="D76" s="183"/>
      <c r="E76" s="183"/>
      <c r="F76" s="278"/>
      <c r="G76" s="251"/>
      <c r="H76" s="249">
        <f>M79</f>
        <v>700</v>
      </c>
      <c r="K76" s="67" t="s">
        <v>9</v>
      </c>
      <c r="L76" s="60">
        <v>0.922</v>
      </c>
      <c r="M76" s="55">
        <v>0.257</v>
      </c>
      <c r="N76" s="61">
        <f t="shared" si="0"/>
        <v>0.5720000000000001</v>
      </c>
      <c r="O76" s="61"/>
      <c r="P76" s="52"/>
    </row>
    <row r="77" spans="1:16" ht="13.5" thickBot="1">
      <c r="A77" s="283"/>
      <c r="B77" s="279"/>
      <c r="C77" s="160"/>
      <c r="D77" s="185"/>
      <c r="E77" s="185"/>
      <c r="F77" s="160"/>
      <c r="G77" s="274"/>
      <c r="H77" s="186">
        <f>SUM(H64:H76)</f>
        <v>101326.90189999998</v>
      </c>
      <c r="K77" s="66" t="s">
        <v>10</v>
      </c>
      <c r="L77" s="60">
        <v>0.52</v>
      </c>
      <c r="M77" s="55">
        <v>1.056</v>
      </c>
      <c r="N77" s="61">
        <f t="shared" si="0"/>
        <v>0.028000000000000025</v>
      </c>
      <c r="O77" s="61"/>
      <c r="P77" s="52"/>
    </row>
    <row r="78" spans="8:16" ht="12.75">
      <c r="H78" s="5"/>
      <c r="K78" s="66" t="s">
        <v>30</v>
      </c>
      <c r="L78" s="60">
        <v>2.136</v>
      </c>
      <c r="M78" s="55">
        <v>5.754</v>
      </c>
      <c r="N78" s="61">
        <f>SUM(L78:M78)-N102</f>
        <v>1.6911999999999994</v>
      </c>
      <c r="O78" s="61"/>
      <c r="P78" s="52"/>
    </row>
    <row r="79" spans="1:15" s="26" customFormat="1" ht="19.5" customHeight="1">
      <c r="A79" s="16" t="s">
        <v>11</v>
      </c>
      <c r="B79" s="168" t="s">
        <v>105</v>
      </c>
      <c r="C79" s="1"/>
      <c r="D79" s="1"/>
      <c r="E79" s="1"/>
      <c r="K79" s="68" t="s">
        <v>36</v>
      </c>
      <c r="L79" s="169">
        <v>531.185</v>
      </c>
      <c r="M79" s="61">
        <v>700</v>
      </c>
      <c r="O79" s="70"/>
    </row>
    <row r="80" spans="1:16" ht="19.5" customHeight="1" thickBot="1">
      <c r="A80" s="11"/>
      <c r="B80" s="10"/>
      <c r="C80" s="10"/>
      <c r="D80" s="10"/>
      <c r="H80" s="145" t="s">
        <v>86</v>
      </c>
      <c r="K80" s="142"/>
      <c r="L80" s="69"/>
      <c r="M80" s="55"/>
      <c r="N80" s="52"/>
      <c r="O80" s="70"/>
      <c r="P80" s="52"/>
    </row>
    <row r="81" spans="1:16" ht="47.25" customHeight="1" thickBot="1">
      <c r="A81" s="187" t="s">
        <v>87</v>
      </c>
      <c r="B81" s="310" t="s">
        <v>106</v>
      </c>
      <c r="C81" s="311"/>
      <c r="D81" s="311"/>
      <c r="E81" s="311"/>
      <c r="F81" s="188"/>
      <c r="G81" s="188"/>
      <c r="H81" s="259" t="s">
        <v>89</v>
      </c>
      <c r="J81" s="5"/>
      <c r="K81" s="50"/>
      <c r="L81" s="71">
        <f>SUM(L67:L79)</f>
        <v>13084.174000000003</v>
      </c>
      <c r="M81" s="55">
        <f>SUM(M67:M79)</f>
        <v>56999.9999</v>
      </c>
      <c r="N81" s="72">
        <f>SUM(N67:N79)</f>
        <v>11538.655059999997</v>
      </c>
      <c r="O81" s="61">
        <f>SUM(O67:O79)</f>
        <v>0</v>
      </c>
      <c r="P81" s="52"/>
    </row>
    <row r="82" spans="1:16" ht="14.25" customHeight="1" thickBot="1">
      <c r="A82" s="189">
        <v>1</v>
      </c>
      <c r="B82" s="190">
        <v>2</v>
      </c>
      <c r="C82" s="161"/>
      <c r="D82" s="20"/>
      <c r="E82" s="20"/>
      <c r="F82" s="161"/>
      <c r="G82" s="191"/>
      <c r="H82" s="192">
        <v>3</v>
      </c>
      <c r="K82" s="50"/>
      <c r="L82" s="50"/>
      <c r="M82" s="73">
        <f>M62*95%</f>
        <v>57000</v>
      </c>
      <c r="N82" s="52"/>
      <c r="O82" s="52"/>
      <c r="P82" s="52"/>
    </row>
    <row r="83" spans="1:16" ht="12.75">
      <c r="A83" s="193" t="s">
        <v>12</v>
      </c>
      <c r="B83" s="194" t="s">
        <v>107</v>
      </c>
      <c r="C83" s="162"/>
      <c r="D83" s="195"/>
      <c r="E83" s="196"/>
      <c r="F83" s="163"/>
      <c r="G83" s="197"/>
      <c r="H83" s="198">
        <f>'[1]UK.RE'!G8+N88</f>
        <v>21325.341999999997</v>
      </c>
      <c r="K83" s="74"/>
      <c r="L83" s="76">
        <f>M81/M62*100</f>
        <v>94.99999983333333</v>
      </c>
      <c r="M83" s="73">
        <f>M82-M81</f>
        <v>9.999999747378752E-05</v>
      </c>
      <c r="N83" s="75"/>
      <c r="O83" s="52"/>
      <c r="P83" s="52"/>
    </row>
    <row r="84" spans="1:16" ht="12.75">
      <c r="A84" s="199" t="s">
        <v>11</v>
      </c>
      <c r="B84" s="200" t="s">
        <v>97</v>
      </c>
      <c r="C84" s="164"/>
      <c r="D84" s="201"/>
      <c r="E84" s="202"/>
      <c r="F84" s="150"/>
      <c r="G84" s="203"/>
      <c r="H84" s="198">
        <f>'[1]UK.RE'!G9+N89</f>
        <v>401.0702799999999</v>
      </c>
      <c r="K84" s="76"/>
      <c r="L84" s="73"/>
      <c r="M84" s="77"/>
      <c r="N84" s="52"/>
      <c r="O84" s="52"/>
      <c r="P84" s="52"/>
    </row>
    <row r="85" spans="1:16" ht="18.75" customHeight="1" thickBot="1">
      <c r="A85" s="204" t="s">
        <v>13</v>
      </c>
      <c r="B85" s="205" t="s">
        <v>108</v>
      </c>
      <c r="C85" s="165"/>
      <c r="D85" s="201"/>
      <c r="E85" s="202"/>
      <c r="F85" s="150"/>
      <c r="G85" s="203"/>
      <c r="H85" s="198">
        <f>'[1]UK.RE'!G10+N90</f>
        <v>68083.48978</v>
      </c>
      <c r="K85" s="50"/>
      <c r="L85" s="73" t="s">
        <v>57</v>
      </c>
      <c r="M85" s="52"/>
      <c r="N85" s="52"/>
      <c r="O85" s="52"/>
      <c r="P85" s="52"/>
    </row>
    <row r="86" spans="1:16" ht="12.75">
      <c r="A86" s="199" t="s">
        <v>14</v>
      </c>
      <c r="B86" s="206" t="s">
        <v>132</v>
      </c>
      <c r="C86" s="150"/>
      <c r="D86" s="201"/>
      <c r="E86" s="202"/>
      <c r="F86" s="150"/>
      <c r="G86" s="203"/>
      <c r="H86" s="198">
        <f>'[1]UK.RE'!G11+N91</f>
        <v>1753.9699999999998</v>
      </c>
      <c r="K86" s="50"/>
      <c r="L86" s="78" t="s">
        <v>37</v>
      </c>
      <c r="M86" s="79" t="s">
        <v>38</v>
      </c>
      <c r="N86" s="80" t="s">
        <v>39</v>
      </c>
      <c r="O86" s="52"/>
      <c r="P86" s="52"/>
    </row>
    <row r="87" spans="1:16" ht="12.75">
      <c r="A87" s="204" t="s">
        <v>15</v>
      </c>
      <c r="B87" s="207" t="s">
        <v>33</v>
      </c>
      <c r="C87" s="150"/>
      <c r="D87" s="201"/>
      <c r="E87" s="202"/>
      <c r="F87" s="150"/>
      <c r="G87" s="203"/>
      <c r="H87" s="198">
        <f>'[1]UK.RE'!G12+N92</f>
        <v>965.48</v>
      </c>
      <c r="K87" s="81"/>
      <c r="L87" s="82"/>
      <c r="M87" s="83"/>
      <c r="N87" s="84"/>
      <c r="O87" s="75"/>
      <c r="P87" s="52"/>
    </row>
    <row r="88" spans="1:16" ht="12.75">
      <c r="A88" s="199" t="s">
        <v>16</v>
      </c>
      <c r="B88" s="206" t="s">
        <v>109</v>
      </c>
      <c r="C88" s="150"/>
      <c r="D88" s="201"/>
      <c r="E88" s="202"/>
      <c r="F88" s="150"/>
      <c r="G88" s="203"/>
      <c r="H88" s="198">
        <f>'[1]UK.RE'!G13+N93</f>
        <v>2797.5820000000003</v>
      </c>
      <c r="K88" s="85" t="s">
        <v>4</v>
      </c>
      <c r="L88" s="86">
        <f>M67-M88+193.542</f>
        <v>9409.021999999999</v>
      </c>
      <c r="M88" s="87">
        <f>'[1]RE-T'!G27</f>
        <v>2004.52</v>
      </c>
      <c r="N88" s="88">
        <f>SUM(L88:M88)</f>
        <v>11413.542</v>
      </c>
      <c r="O88" s="75"/>
      <c r="P88" s="52"/>
    </row>
    <row r="89" spans="1:16" ht="12.75">
      <c r="A89" s="208" t="s">
        <v>17</v>
      </c>
      <c r="B89" s="209" t="s">
        <v>110</v>
      </c>
      <c r="C89" s="150"/>
      <c r="D89" s="201"/>
      <c r="E89" s="202"/>
      <c r="F89" s="150"/>
      <c r="G89" s="203"/>
      <c r="H89" s="198">
        <f>'[1]UK.RE'!G14+N94</f>
        <v>4056.6600000000003</v>
      </c>
      <c r="K89" s="89" t="s">
        <v>5</v>
      </c>
      <c r="L89" s="86">
        <f>'[1]RE-T'!G9+7.279</f>
        <v>79.99964000000001</v>
      </c>
      <c r="M89" s="87">
        <f>'[1]RE-T'!G28+13</f>
        <v>130.67499999999995</v>
      </c>
      <c r="N89" s="90">
        <f aca="true" t="shared" si="1" ref="N89:N102">L89+M89</f>
        <v>210.67463999999995</v>
      </c>
      <c r="O89" s="75"/>
      <c r="P89" s="52"/>
    </row>
    <row r="90" spans="1:16" ht="12.75">
      <c r="A90" s="210" t="s">
        <v>18</v>
      </c>
      <c r="B90" s="209" t="s">
        <v>19</v>
      </c>
      <c r="C90" s="150"/>
      <c r="D90" s="201"/>
      <c r="E90" s="202"/>
      <c r="F90" s="150"/>
      <c r="G90" s="203"/>
      <c r="H90" s="198">
        <f>'[1]UK.RE'!G16+N95</f>
        <v>6877.3888</v>
      </c>
      <c r="K90" s="89" t="s">
        <v>6</v>
      </c>
      <c r="L90" s="86">
        <f>M69-M90+1174.23</f>
        <v>37793.324</v>
      </c>
      <c r="M90" s="87">
        <f>'[1]RE-T'!G29</f>
        <v>241.76</v>
      </c>
      <c r="N90" s="90">
        <f>L90+M90</f>
        <v>38035.084</v>
      </c>
      <c r="O90" s="75"/>
      <c r="P90" s="52"/>
    </row>
    <row r="91" spans="1:16" ht="12.75">
      <c r="A91" s="208" t="s">
        <v>20</v>
      </c>
      <c r="B91" s="211" t="s">
        <v>21</v>
      </c>
      <c r="C91" s="166"/>
      <c r="D91" s="201"/>
      <c r="E91" s="202"/>
      <c r="F91" s="150"/>
      <c r="G91" s="203"/>
      <c r="H91" s="198">
        <f>'[1]UK.RE'!G20+N96</f>
        <v>123.91999999999999</v>
      </c>
      <c r="K91" s="89" t="s">
        <v>40</v>
      </c>
      <c r="L91" s="86">
        <f>'[1]RE-T'!G11+L70</f>
        <v>907.5699999999999</v>
      </c>
      <c r="M91" s="87">
        <f>'[1]RE-T'!G30</f>
        <v>0</v>
      </c>
      <c r="N91" s="90">
        <f t="shared" si="1"/>
        <v>907.5699999999999</v>
      </c>
      <c r="O91" s="75"/>
      <c r="P91" s="52"/>
    </row>
    <row r="92" spans="1:16" ht="13.5" customHeight="1">
      <c r="A92" s="210" t="s">
        <v>32</v>
      </c>
      <c r="B92" s="212" t="s">
        <v>9</v>
      </c>
      <c r="C92" s="164"/>
      <c r="D92" s="213"/>
      <c r="E92" s="214"/>
      <c r="F92" s="150"/>
      <c r="G92" s="203"/>
      <c r="H92" s="215">
        <f>'[1]UK.RE'!G22+N97</f>
        <v>0.814</v>
      </c>
      <c r="K92" s="89" t="s">
        <v>41</v>
      </c>
      <c r="L92" s="86">
        <f>M71+4.76</f>
        <v>529.26</v>
      </c>
      <c r="M92" s="87">
        <f>'[1]RE-T'!G31</f>
        <v>0</v>
      </c>
      <c r="N92" s="90">
        <f t="shared" si="1"/>
        <v>529.26</v>
      </c>
      <c r="O92" s="75"/>
      <c r="P92" s="52"/>
    </row>
    <row r="93" spans="1:16" ht="14.25" customHeight="1">
      <c r="A93" s="208" t="s">
        <v>22</v>
      </c>
      <c r="B93" s="205" t="s">
        <v>103</v>
      </c>
      <c r="C93" s="165"/>
      <c r="D93" s="213"/>
      <c r="E93" s="214"/>
      <c r="F93" s="150"/>
      <c r="G93" s="203"/>
      <c r="H93" s="215">
        <f>'[1]UK.RE'!G24+N98</f>
        <v>2.596</v>
      </c>
      <c r="K93" s="89" t="s">
        <v>42</v>
      </c>
      <c r="L93" s="86">
        <f>'[1]RE-T'!G13</f>
        <v>0.7</v>
      </c>
      <c r="M93" s="87">
        <f>'[1]RE-T'!G32+45.262</f>
        <v>1420.722</v>
      </c>
      <c r="N93" s="90">
        <f t="shared" si="1"/>
        <v>1421.422</v>
      </c>
      <c r="O93" s="75"/>
      <c r="P93" s="52"/>
    </row>
    <row r="94" spans="1:16" ht="15.75" customHeight="1" thickBot="1">
      <c r="A94" s="216" t="s">
        <v>23</v>
      </c>
      <c r="B94" s="217" t="s">
        <v>104</v>
      </c>
      <c r="C94" s="167"/>
      <c r="D94" s="218"/>
      <c r="E94" s="219"/>
      <c r="F94" s="167"/>
      <c r="G94" s="220"/>
      <c r="H94" s="215">
        <f>'[1]UK.RE'!G23+N102</f>
        <v>10.8976</v>
      </c>
      <c r="K94" s="89" t="s">
        <v>7</v>
      </c>
      <c r="L94" s="86">
        <f>'[1]RE-T'!G14</f>
        <v>479.515</v>
      </c>
      <c r="M94" s="87">
        <f>'[1]RE-T'!G33+100.23</f>
        <v>1598.93</v>
      </c>
      <c r="N94" s="90">
        <f t="shared" si="1"/>
        <v>2078.445</v>
      </c>
      <c r="O94" s="75"/>
      <c r="P94" s="52"/>
    </row>
    <row r="95" spans="1:16" ht="13.5" thickBot="1">
      <c r="A95" s="221" t="s">
        <v>24</v>
      </c>
      <c r="B95" s="222" t="s">
        <v>111</v>
      </c>
      <c r="C95" s="223"/>
      <c r="D95" s="224"/>
      <c r="E95" s="224"/>
      <c r="F95" s="223"/>
      <c r="G95" s="223"/>
      <c r="H95" s="186">
        <f>SUM(H83:H94)</f>
        <v>106399.21045999999</v>
      </c>
      <c r="K95" s="89" t="s">
        <v>8</v>
      </c>
      <c r="L95" s="86">
        <f>'[1]RE-T'!G16</f>
        <v>434.57640000000004</v>
      </c>
      <c r="M95" s="87">
        <f>'[1]RE-T'!G35+82.456</f>
        <v>3045.346</v>
      </c>
      <c r="N95" s="90">
        <f t="shared" si="1"/>
        <v>3479.9224</v>
      </c>
      <c r="O95" s="75"/>
      <c r="P95" s="52"/>
    </row>
    <row r="96" spans="11:16" ht="12.75">
      <c r="K96" s="89" t="s">
        <v>43</v>
      </c>
      <c r="L96" s="86">
        <f>'[1]RE-T'!G18+13</f>
        <v>25.66</v>
      </c>
      <c r="M96" s="87">
        <f>'[1]RE-T'!G37+16</f>
        <v>50.8</v>
      </c>
      <c r="N96" s="90">
        <f t="shared" si="1"/>
        <v>76.46</v>
      </c>
      <c r="O96" s="52"/>
      <c r="P96" s="52"/>
    </row>
    <row r="97" spans="11:16" ht="12.75">
      <c r="K97" s="89" t="s">
        <v>9</v>
      </c>
      <c r="L97" s="86">
        <f>'[1]RE-T'!G20+0.4</f>
        <v>0.607</v>
      </c>
      <c r="M97" s="87">
        <f>'[1]RE-T'!G38</f>
        <v>0</v>
      </c>
      <c r="N97" s="90">
        <f t="shared" si="1"/>
        <v>0.607</v>
      </c>
      <c r="O97" s="75"/>
      <c r="P97" s="52"/>
    </row>
    <row r="98" spans="11:16" ht="12.75">
      <c r="K98" s="89" t="s">
        <v>10</v>
      </c>
      <c r="L98" s="86">
        <f>'[1]RE-T'!G22+0.5</f>
        <v>1.548</v>
      </c>
      <c r="M98" s="87">
        <f>'[1]RE-T'!G39</f>
        <v>0</v>
      </c>
      <c r="N98" s="90">
        <f t="shared" si="1"/>
        <v>1.548</v>
      </c>
      <c r="O98" s="75"/>
      <c r="P98" s="52"/>
    </row>
    <row r="99" spans="11:16" ht="12.75">
      <c r="K99" s="89"/>
      <c r="L99" s="86"/>
      <c r="M99" s="87"/>
      <c r="N99" s="90"/>
      <c r="O99" s="75"/>
      <c r="P99" s="52"/>
    </row>
    <row r="100" spans="11:16" ht="12.75">
      <c r="K100" s="89"/>
      <c r="L100" s="86"/>
      <c r="M100" s="87"/>
      <c r="N100" s="90"/>
      <c r="O100" s="75"/>
      <c r="P100" s="52"/>
    </row>
    <row r="101" spans="11:16" ht="12.75">
      <c r="K101" s="89"/>
      <c r="L101" s="86"/>
      <c r="M101" s="87"/>
      <c r="N101" s="90"/>
      <c r="O101" s="75"/>
      <c r="P101" s="52"/>
    </row>
    <row r="102" spans="11:16" ht="11.25" customHeight="1">
      <c r="K102" s="89" t="s">
        <v>44</v>
      </c>
      <c r="L102" s="86">
        <f>'[1]RE-T'!G21+1.5</f>
        <v>6.1988</v>
      </c>
      <c r="M102" s="87">
        <f>'[1]RE-T'!G40</f>
        <v>0</v>
      </c>
      <c r="N102" s="90">
        <f t="shared" si="1"/>
        <v>6.1988</v>
      </c>
      <c r="O102" s="75"/>
      <c r="P102" s="52"/>
    </row>
    <row r="103" spans="1:2" ht="12.75">
      <c r="A103" s="16" t="s">
        <v>13</v>
      </c>
      <c r="B103" s="1" t="s">
        <v>112</v>
      </c>
    </row>
    <row r="104" spans="2:7" ht="12.75">
      <c r="B104" s="225" t="s">
        <v>113</v>
      </c>
      <c r="C104" s="226"/>
      <c r="D104" s="226"/>
      <c r="E104" s="226"/>
      <c r="F104" s="226"/>
      <c r="G104" s="226"/>
    </row>
    <row r="105" spans="2:16" ht="7.5" customHeight="1">
      <c r="B105" s="1"/>
      <c r="K105" s="91" t="s">
        <v>45</v>
      </c>
      <c r="L105" s="92">
        <v>0</v>
      </c>
      <c r="M105" s="93">
        <v>100</v>
      </c>
      <c r="N105" s="94">
        <f>(L105*M105*95)/1000</f>
        <v>0</v>
      </c>
      <c r="O105" s="52"/>
      <c r="P105" s="52"/>
    </row>
    <row r="106" spans="8:16" ht="13.5" thickBot="1">
      <c r="H106" s="4" t="s">
        <v>114</v>
      </c>
      <c r="I106" s="4"/>
      <c r="K106" s="95" t="s">
        <v>46</v>
      </c>
      <c r="L106" s="55"/>
      <c r="M106" s="96"/>
      <c r="N106" s="97" t="e">
        <f>#REF!/3</f>
        <v>#REF!</v>
      </c>
      <c r="O106" s="52"/>
      <c r="P106" s="52"/>
    </row>
    <row r="107" spans="1:16" ht="48.75" thickBot="1">
      <c r="A107" s="13"/>
      <c r="B107" s="285" t="s">
        <v>115</v>
      </c>
      <c r="C107" s="286"/>
      <c r="D107" s="286"/>
      <c r="E107" s="35"/>
      <c r="F107" s="40"/>
      <c r="G107" s="41"/>
      <c r="H107" s="42" t="s">
        <v>89</v>
      </c>
      <c r="K107" s="98"/>
      <c r="L107" s="99"/>
      <c r="M107" s="100"/>
      <c r="N107" s="101"/>
      <c r="O107" s="52"/>
      <c r="P107" s="52"/>
    </row>
    <row r="108" spans="2:16" ht="13.5" customHeight="1" thickBot="1">
      <c r="B108" s="312" t="s">
        <v>116</v>
      </c>
      <c r="C108" s="313"/>
      <c r="D108" s="313"/>
      <c r="E108" s="18"/>
      <c r="F108" s="43"/>
      <c r="G108" s="43"/>
      <c r="H108" s="260">
        <v>5541207</v>
      </c>
      <c r="K108" s="98"/>
      <c r="L108" s="99"/>
      <c r="M108" s="100"/>
      <c r="N108" s="101"/>
      <c r="O108" s="52"/>
      <c r="P108" s="52"/>
    </row>
    <row r="109" spans="2:15" ht="15" customHeight="1">
      <c r="B109" s="291" t="s">
        <v>117</v>
      </c>
      <c r="C109" s="292"/>
      <c r="D109" s="292"/>
      <c r="E109" s="227"/>
      <c r="F109" s="228"/>
      <c r="G109" s="229"/>
      <c r="H109" s="261">
        <v>5422149</v>
      </c>
      <c r="J109" s="50"/>
      <c r="K109" s="73"/>
      <c r="L109" s="52"/>
      <c r="M109" s="52"/>
      <c r="N109" s="52"/>
      <c r="O109" s="52"/>
    </row>
    <row r="110" spans="2:16" ht="12.75" customHeight="1">
      <c r="B110" s="314" t="s">
        <v>118</v>
      </c>
      <c r="C110" s="315"/>
      <c r="D110" s="315"/>
      <c r="E110" s="177"/>
      <c r="F110" s="29"/>
      <c r="G110" s="29"/>
      <c r="H110" s="230">
        <v>97338</v>
      </c>
      <c r="J110" s="50"/>
      <c r="K110" s="73"/>
      <c r="L110" s="52"/>
      <c r="M110" s="52"/>
      <c r="N110" s="52"/>
      <c r="O110" s="52"/>
      <c r="P110" s="5"/>
    </row>
    <row r="111" spans="2:15" ht="12.75" customHeight="1" thickBot="1">
      <c r="B111" s="287" t="s">
        <v>119</v>
      </c>
      <c r="C111" s="288"/>
      <c r="D111" s="288"/>
      <c r="E111" s="231"/>
      <c r="F111" s="232"/>
      <c r="G111" s="232"/>
      <c r="H111" s="233">
        <f>'[1]Pri'!H48*7</f>
        <v>21719.208910000005</v>
      </c>
      <c r="J111" s="50"/>
      <c r="K111" s="73"/>
      <c r="L111" s="52"/>
      <c r="M111" s="52"/>
      <c r="N111" s="52"/>
      <c r="O111" s="52"/>
    </row>
    <row r="112" spans="2:16" ht="13.5" customHeight="1" thickBot="1">
      <c r="B112" s="289" t="s">
        <v>120</v>
      </c>
      <c r="C112" s="290"/>
      <c r="D112" s="290"/>
      <c r="E112" s="22"/>
      <c r="F112" s="148"/>
      <c r="G112" s="148"/>
      <c r="H112" s="149">
        <v>5298311</v>
      </c>
      <c r="K112" s="50"/>
      <c r="L112" s="73" t="s">
        <v>47</v>
      </c>
      <c r="M112" s="52"/>
      <c r="N112" s="52"/>
      <c r="O112" s="52"/>
      <c r="P112" s="52"/>
    </row>
    <row r="113" spans="2:16" ht="13.5" customHeight="1" thickBot="1">
      <c r="B113" s="291" t="s">
        <v>121</v>
      </c>
      <c r="C113" s="292"/>
      <c r="D113" s="292"/>
      <c r="E113" s="35"/>
      <c r="F113" s="146"/>
      <c r="G113" s="146"/>
      <c r="H113" s="147">
        <v>4717799</v>
      </c>
      <c r="K113" s="50"/>
      <c r="L113" s="102" t="s">
        <v>37</v>
      </c>
      <c r="M113" s="103" t="s">
        <v>38</v>
      </c>
      <c r="N113" s="104" t="s">
        <v>39</v>
      </c>
      <c r="O113" s="105" t="s">
        <v>48</v>
      </c>
      <c r="P113" s="106" t="s">
        <v>49</v>
      </c>
    </row>
    <row r="114" spans="2:16" ht="13.5" customHeight="1" thickBot="1">
      <c r="B114" s="293" t="s">
        <v>122</v>
      </c>
      <c r="C114" s="294"/>
      <c r="D114" s="295"/>
      <c r="E114" s="21"/>
      <c r="F114" s="28"/>
      <c r="G114" s="29"/>
      <c r="H114" s="31">
        <v>618459</v>
      </c>
      <c r="K114" s="50"/>
      <c r="L114" s="141" t="s">
        <v>61</v>
      </c>
      <c r="M114" s="107">
        <v>100</v>
      </c>
      <c r="N114" s="108"/>
      <c r="O114" s="109"/>
      <c r="P114" s="110"/>
    </row>
    <row r="115" spans="2:16" ht="12.75" customHeight="1">
      <c r="B115" s="296" t="s">
        <v>123</v>
      </c>
      <c r="C115" s="297"/>
      <c r="D115" s="297"/>
      <c r="E115" s="17"/>
      <c r="F115" s="32"/>
      <c r="G115" s="33"/>
      <c r="H115" s="15">
        <v>3654197</v>
      </c>
      <c r="K115" s="111" t="s">
        <v>4</v>
      </c>
      <c r="L115" s="112">
        <f>(L88-8870)*52.25+8870*52.25</f>
        <v>491621.39949999994</v>
      </c>
      <c r="M115" s="113">
        <f>M88*P115*M114/1000</f>
        <v>132298.32</v>
      </c>
      <c r="N115" s="114">
        <f>L115+M115</f>
        <v>623919.7194999999</v>
      </c>
      <c r="O115" s="138">
        <v>52</v>
      </c>
      <c r="P115" s="14">
        <v>660</v>
      </c>
    </row>
    <row r="116" spans="2:16" ht="12.75" customHeight="1">
      <c r="B116" s="298" t="s">
        <v>124</v>
      </c>
      <c r="C116" s="299"/>
      <c r="D116" s="299"/>
      <c r="E116" s="309"/>
      <c r="F116" s="294"/>
      <c r="G116" s="295"/>
      <c r="H116" s="15">
        <f>'[1]Ras'!$G$44+N135</f>
        <v>192469.27117999998</v>
      </c>
      <c r="K116" s="115" t="s">
        <v>5</v>
      </c>
      <c r="L116" s="116">
        <f aca="true" t="shared" si="2" ref="L116:L123">L89*O116</f>
        <v>11599.947800000002</v>
      </c>
      <c r="M116" s="117">
        <f>M89*P116*M114/1000</f>
        <v>13720.874999999995</v>
      </c>
      <c r="N116" s="114">
        <f>L116+M116</f>
        <v>25320.822799999994</v>
      </c>
      <c r="O116" s="118">
        <v>145</v>
      </c>
      <c r="P116" s="14">
        <v>1050</v>
      </c>
    </row>
    <row r="117" spans="2:16" ht="12.75" customHeight="1">
      <c r="B117" s="298" t="s">
        <v>125</v>
      </c>
      <c r="C117" s="299"/>
      <c r="D117" s="299"/>
      <c r="E117" s="299"/>
      <c r="F117" s="299"/>
      <c r="G117" s="299"/>
      <c r="H117" s="15">
        <f>'[1]Ras'!$G$91+N136</f>
        <v>77935.33736100001</v>
      </c>
      <c r="K117" s="115" t="s">
        <v>6</v>
      </c>
      <c r="L117" s="137">
        <f t="shared" si="2"/>
        <v>1436146.312</v>
      </c>
      <c r="M117" s="117">
        <f>M90*P117*M114/1000</f>
        <v>8582.48</v>
      </c>
      <c r="N117" s="119">
        <f aca="true" t="shared" si="3" ref="N117:N123">L117+M117</f>
        <v>1444728.792</v>
      </c>
      <c r="O117" s="118">
        <v>38</v>
      </c>
      <c r="P117" s="14">
        <v>355</v>
      </c>
    </row>
    <row r="118" spans="2:16" ht="12.75" customHeight="1">
      <c r="B118" s="298" t="s">
        <v>126</v>
      </c>
      <c r="C118" s="299"/>
      <c r="D118" s="299"/>
      <c r="E118" s="309"/>
      <c r="F118" s="294"/>
      <c r="G118" s="295"/>
      <c r="H118" s="15">
        <f>'[1]Ras'!$G$69+'[1]Ras'!$G$94+N137+N138</f>
        <v>174738.41712</v>
      </c>
      <c r="K118" s="115" t="s">
        <v>40</v>
      </c>
      <c r="L118" s="116">
        <f t="shared" si="2"/>
        <v>4265.579</v>
      </c>
      <c r="M118" s="117">
        <f>M91</f>
        <v>0</v>
      </c>
      <c r="N118" s="114">
        <f t="shared" si="3"/>
        <v>4265.579</v>
      </c>
      <c r="O118" s="118">
        <v>4.7</v>
      </c>
      <c r="P118" s="14"/>
    </row>
    <row r="119" spans="2:16" ht="12.75" customHeight="1">
      <c r="B119" s="303" t="s">
        <v>127</v>
      </c>
      <c r="C119" s="304"/>
      <c r="D119" s="305"/>
      <c r="E119" s="17"/>
      <c r="F119" s="30"/>
      <c r="G119" s="34"/>
      <c r="H119" s="14">
        <f>'[1]Ras'!$G$124+'[1]Ras'!$G$125+50000</f>
        <v>554047.9836800001</v>
      </c>
      <c r="K119" s="115" t="s">
        <v>50</v>
      </c>
      <c r="L119" s="116">
        <f t="shared" si="2"/>
        <v>22493.55</v>
      </c>
      <c r="M119" s="117">
        <f>M92</f>
        <v>0</v>
      </c>
      <c r="N119" s="114">
        <f t="shared" si="3"/>
        <v>22493.55</v>
      </c>
      <c r="O119" s="118">
        <v>42.5</v>
      </c>
      <c r="P119" s="14"/>
    </row>
    <row r="120" spans="2:16" ht="13.5" customHeight="1" thickBot="1">
      <c r="B120" s="306" t="s">
        <v>128</v>
      </c>
      <c r="C120" s="307"/>
      <c r="D120" s="308"/>
      <c r="E120" s="21"/>
      <c r="F120" s="44"/>
      <c r="G120" s="46"/>
      <c r="H120" s="127">
        <f>'[1]Ras'!$G$137*2</f>
        <v>26464.61908</v>
      </c>
      <c r="K120" s="115" t="s">
        <v>42</v>
      </c>
      <c r="L120" s="116">
        <f t="shared" si="2"/>
        <v>59.49999999999999</v>
      </c>
      <c r="M120" s="117">
        <f>M93*P120*M114/1000</f>
        <v>73877.544</v>
      </c>
      <c r="N120" s="114">
        <f t="shared" si="3"/>
        <v>73937.044</v>
      </c>
      <c r="O120" s="118">
        <v>85</v>
      </c>
      <c r="P120" s="14">
        <v>520</v>
      </c>
    </row>
    <row r="121" spans="2:16" ht="13.5" customHeight="1" thickBot="1">
      <c r="B121" s="300" t="s">
        <v>129</v>
      </c>
      <c r="C121" s="301"/>
      <c r="D121" s="302"/>
      <c r="E121" s="18"/>
      <c r="F121" s="47"/>
      <c r="G121" s="234"/>
      <c r="H121" s="234">
        <v>242895</v>
      </c>
      <c r="K121" s="115" t="s">
        <v>7</v>
      </c>
      <c r="L121" s="116">
        <f t="shared" si="2"/>
        <v>33566.049999999996</v>
      </c>
      <c r="M121" s="117">
        <f>M94*P121*M114/1000</f>
        <v>77548.105</v>
      </c>
      <c r="N121" s="114">
        <f t="shared" si="3"/>
        <v>111114.155</v>
      </c>
      <c r="O121" s="118">
        <v>70</v>
      </c>
      <c r="P121" s="14">
        <v>485</v>
      </c>
    </row>
    <row r="122" spans="2:16" ht="13.5" customHeight="1" thickBot="1">
      <c r="B122" s="293" t="s">
        <v>130</v>
      </c>
      <c r="C122" s="294"/>
      <c r="D122" s="295"/>
      <c r="E122" s="19"/>
      <c r="F122" s="29"/>
      <c r="G122" s="48"/>
      <c r="H122" s="49">
        <f>H121*10%</f>
        <v>24289.5</v>
      </c>
      <c r="K122" s="115" t="s">
        <v>8</v>
      </c>
      <c r="L122" s="116">
        <f t="shared" si="2"/>
        <v>49976.28600000001</v>
      </c>
      <c r="M122" s="120">
        <f>M95*P122*M114/1000</f>
        <v>217742.239</v>
      </c>
      <c r="N122" s="114">
        <f t="shared" si="3"/>
        <v>267718.525</v>
      </c>
      <c r="O122" s="118">
        <v>115</v>
      </c>
      <c r="P122" s="14">
        <v>715</v>
      </c>
    </row>
    <row r="123" spans="2:16" ht="13.5" customHeight="1" thickBot="1">
      <c r="B123" s="300" t="s">
        <v>131</v>
      </c>
      <c r="C123" s="301"/>
      <c r="D123" s="302"/>
      <c r="E123" s="18"/>
      <c r="F123" s="45"/>
      <c r="G123" s="234"/>
      <c r="H123" s="234">
        <f>H121-H122</f>
        <v>218605.5</v>
      </c>
      <c r="K123" s="121" t="s">
        <v>43</v>
      </c>
      <c r="L123" s="116">
        <f t="shared" si="2"/>
        <v>5901.8</v>
      </c>
      <c r="M123" s="117">
        <f>M96*P123*M114/1000</f>
        <v>10160</v>
      </c>
      <c r="N123" s="114">
        <f t="shared" si="3"/>
        <v>16061.8</v>
      </c>
      <c r="O123" s="118">
        <v>230</v>
      </c>
      <c r="P123" s="14">
        <v>2000</v>
      </c>
    </row>
    <row r="124" spans="5:16" ht="12.75">
      <c r="E124" s="5"/>
      <c r="F124" s="5"/>
      <c r="G124" s="5"/>
      <c r="K124" s="121" t="s">
        <v>9</v>
      </c>
      <c r="L124" s="116">
        <f>L97*1000</f>
        <v>607</v>
      </c>
      <c r="M124" s="117">
        <f>M97*P124*95/1000</f>
        <v>0</v>
      </c>
      <c r="N124" s="114">
        <f>L124+M124</f>
        <v>607</v>
      </c>
      <c r="O124" s="118">
        <v>950</v>
      </c>
      <c r="P124" s="14">
        <v>0</v>
      </c>
    </row>
    <row r="125" spans="1:7" ht="14.25">
      <c r="A125" s="23" t="s">
        <v>140</v>
      </c>
      <c r="E125" s="5"/>
      <c r="F125" s="5"/>
      <c r="G125" s="5"/>
    </row>
    <row r="126" spans="1:7" ht="14.25">
      <c r="A126" s="23" t="s">
        <v>141</v>
      </c>
      <c r="E126" s="5"/>
      <c r="F126" s="5"/>
      <c r="G126" s="5"/>
    </row>
    <row r="127" spans="1:7" ht="14.25">
      <c r="A127" s="23" t="s">
        <v>143</v>
      </c>
      <c r="E127" s="5"/>
      <c r="F127" s="5"/>
      <c r="G127" s="5"/>
    </row>
    <row r="128" spans="1:7" ht="14.25">
      <c r="A128" s="23" t="s">
        <v>142</v>
      </c>
      <c r="E128" s="5"/>
      <c r="F128" s="5"/>
      <c r="G128" s="5"/>
    </row>
    <row r="129" spans="1:16" ht="14.25">
      <c r="A129" s="23" t="s">
        <v>144</v>
      </c>
      <c r="E129" s="5"/>
      <c r="F129" s="5"/>
      <c r="G129" s="5"/>
      <c r="K129" s="121" t="s">
        <v>10</v>
      </c>
      <c r="L129" s="116">
        <f>L98*245</f>
        <v>379.26</v>
      </c>
      <c r="M129" s="117">
        <f>M98*P129*95/1000</f>
        <v>0</v>
      </c>
      <c r="N129" s="114">
        <f>L129+M129</f>
        <v>379.26</v>
      </c>
      <c r="O129" s="118">
        <v>200</v>
      </c>
      <c r="P129" s="14">
        <v>0</v>
      </c>
    </row>
    <row r="130" spans="1:16" ht="15" thickBot="1">
      <c r="A130" s="23" t="s">
        <v>145</v>
      </c>
      <c r="E130" s="5"/>
      <c r="F130" s="5"/>
      <c r="G130" s="5"/>
      <c r="K130" s="122" t="s">
        <v>44</v>
      </c>
      <c r="L130" s="123">
        <f>L102*815</f>
        <v>5052.022</v>
      </c>
      <c r="M130" s="124">
        <f>M102*P130/1000</f>
        <v>0</v>
      </c>
      <c r="N130" s="125">
        <f>L130+M130</f>
        <v>5052.022</v>
      </c>
      <c r="O130" s="126">
        <v>660</v>
      </c>
      <c r="P130" s="127">
        <v>0</v>
      </c>
    </row>
    <row r="131" spans="1:16" ht="15" thickBot="1">
      <c r="A131" s="23" t="s">
        <v>146</v>
      </c>
      <c r="E131" s="5"/>
      <c r="F131" s="5"/>
      <c r="G131" s="5"/>
      <c r="K131" s="128" t="s">
        <v>39</v>
      </c>
      <c r="L131" s="129">
        <f>SUM(L115:L130)*1.05</f>
        <v>2164752.141615</v>
      </c>
      <c r="M131" s="130">
        <f>SUM(M115:M130)</f>
        <v>533929.5630000001</v>
      </c>
      <c r="N131" s="131">
        <f>L131+M131</f>
        <v>2698681.704615</v>
      </c>
      <c r="O131" s="52"/>
      <c r="P131" s="52"/>
    </row>
    <row r="132" spans="1:16" ht="14.25">
      <c r="A132" s="23" t="s">
        <v>147</v>
      </c>
      <c r="E132" s="5"/>
      <c r="F132" s="5"/>
      <c r="G132" s="5"/>
      <c r="K132" s="132" t="s">
        <v>51</v>
      </c>
      <c r="L132" s="133">
        <v>0</v>
      </c>
      <c r="M132" s="134">
        <v>0</v>
      </c>
      <c r="N132" s="135">
        <f>(L132*M132*95)/1000</f>
        <v>0</v>
      </c>
      <c r="O132" s="52"/>
      <c r="P132" s="52"/>
    </row>
    <row r="133" spans="1:16" ht="12" customHeight="1">
      <c r="A133" s="235"/>
      <c r="B133" s="236"/>
      <c r="C133" s="236"/>
      <c r="D133" s="236"/>
      <c r="E133" s="237"/>
      <c r="F133" s="237"/>
      <c r="G133" s="237"/>
      <c r="H133" s="236"/>
      <c r="I133" s="236"/>
      <c r="K133" s="57" t="s">
        <v>52</v>
      </c>
      <c r="L133" s="55"/>
      <c r="M133" s="96"/>
      <c r="N133" s="61">
        <f>'[1]Ras'!$G$28</f>
        <v>35315.667969999995</v>
      </c>
      <c r="O133" s="52"/>
      <c r="P133" s="52"/>
    </row>
    <row r="134" spans="1:18" ht="14.25">
      <c r="A134" s="23" t="s">
        <v>157</v>
      </c>
      <c r="B134" s="151"/>
      <c r="C134" s="151"/>
      <c r="D134" s="151"/>
      <c r="E134" s="262"/>
      <c r="F134" s="262"/>
      <c r="G134" s="262"/>
      <c r="H134" s="151"/>
      <c r="I134" s="151"/>
      <c r="J134" s="151"/>
      <c r="K134" s="57" t="s">
        <v>53</v>
      </c>
      <c r="L134" s="263"/>
      <c r="M134" s="263"/>
      <c r="N134" s="61">
        <f>'[1]Ras'!$G$35</f>
        <v>69939.92972</v>
      </c>
      <c r="O134" s="140" t="e">
        <f>#REF!+N133+N134</f>
        <v>#REF!</v>
      </c>
      <c r="P134" s="151"/>
      <c r="Q134" s="151"/>
      <c r="R134" s="151"/>
    </row>
    <row r="135" spans="1:18" ht="14.25">
      <c r="A135" s="23" t="s">
        <v>158</v>
      </c>
      <c r="B135" s="151"/>
      <c r="C135" s="151"/>
      <c r="D135" s="151"/>
      <c r="E135" s="151"/>
      <c r="F135" s="151"/>
      <c r="G135" s="151"/>
      <c r="H135" s="151"/>
      <c r="I135" s="151"/>
      <c r="J135" s="151"/>
      <c r="K135" s="263" t="s">
        <v>54</v>
      </c>
      <c r="L135" s="55"/>
      <c r="M135" s="264"/>
      <c r="N135" s="265">
        <f>'[1]Ras'!$G$44+17500</f>
        <v>104984.63558999999</v>
      </c>
      <c r="O135" s="151"/>
      <c r="P135" s="151"/>
      <c r="Q135" s="151"/>
      <c r="R135" s="151"/>
    </row>
    <row r="136" spans="1:18" ht="14.25">
      <c r="A136" s="23" t="s">
        <v>159</v>
      </c>
      <c r="B136" s="151"/>
      <c r="C136" s="151"/>
      <c r="D136" s="151"/>
      <c r="E136" s="151"/>
      <c r="F136" s="151"/>
      <c r="G136" s="151"/>
      <c r="H136" s="151"/>
      <c r="I136" s="151"/>
      <c r="J136" s="151"/>
      <c r="K136" s="266" t="s">
        <v>58</v>
      </c>
      <c r="L136" s="55"/>
      <c r="M136" s="264"/>
      <c r="N136" s="265">
        <f>'[1]Ras'!$G$91*1.1</f>
        <v>40823.27195100001</v>
      </c>
      <c r="O136" s="151"/>
      <c r="P136" s="151"/>
      <c r="Q136" s="151"/>
      <c r="R136" s="151"/>
    </row>
    <row r="137" spans="1:18" ht="12.75" customHeight="1">
      <c r="A137" s="23" t="s">
        <v>160</v>
      </c>
      <c r="B137" s="151"/>
      <c r="C137" s="151"/>
      <c r="D137" s="151"/>
      <c r="E137" s="151"/>
      <c r="F137" s="151"/>
      <c r="G137" s="151"/>
      <c r="H137" s="151"/>
      <c r="I137" s="151"/>
      <c r="J137" s="151"/>
      <c r="K137" s="266" t="s">
        <v>59</v>
      </c>
      <c r="L137" s="266"/>
      <c r="M137" s="266"/>
      <c r="N137" s="265">
        <f>'[1]Ras'!$G$69</f>
        <v>55809.13123</v>
      </c>
      <c r="O137" s="151"/>
      <c r="P137" s="151"/>
      <c r="Q137" s="151"/>
      <c r="R137" s="151"/>
    </row>
    <row r="138" spans="1:18" ht="14.25" customHeight="1">
      <c r="A138" s="23" t="s">
        <v>161</v>
      </c>
      <c r="B138" s="151"/>
      <c r="C138" s="151"/>
      <c r="D138" s="151"/>
      <c r="E138" s="151"/>
      <c r="F138" s="151"/>
      <c r="G138" s="151"/>
      <c r="H138" s="151"/>
      <c r="I138" s="151"/>
      <c r="J138" s="151"/>
      <c r="K138" s="139" t="s">
        <v>60</v>
      </c>
      <c r="L138" s="266"/>
      <c r="M138" s="266"/>
      <c r="N138" s="265">
        <f>'[1]Ras'!$G$94</f>
        <v>31560.077330000004</v>
      </c>
      <c r="O138" s="151"/>
      <c r="P138" s="151"/>
      <c r="Q138" s="151"/>
      <c r="R138" s="151"/>
    </row>
    <row r="139" spans="1:18" ht="13.5" customHeight="1">
      <c r="A139" s="23" t="s">
        <v>162</v>
      </c>
      <c r="B139" s="151"/>
      <c r="C139" s="151"/>
      <c r="D139" s="151"/>
      <c r="E139" s="151"/>
      <c r="F139" s="151"/>
      <c r="G139" s="151"/>
      <c r="H139" s="151"/>
      <c r="I139" s="151"/>
      <c r="J139" s="151"/>
      <c r="K139" s="267"/>
      <c r="L139" s="267"/>
      <c r="M139" s="267"/>
      <c r="N139" s="268"/>
      <c r="O139" s="151"/>
      <c r="P139" s="151"/>
      <c r="Q139" s="151"/>
      <c r="R139" s="151"/>
    </row>
    <row r="140" spans="1:18" ht="9.75" customHeight="1" thickBot="1">
      <c r="A140" s="23"/>
      <c r="B140" s="151"/>
      <c r="C140" s="151"/>
      <c r="D140" s="151"/>
      <c r="E140" s="151"/>
      <c r="F140" s="151"/>
      <c r="G140" s="151"/>
      <c r="H140" s="151"/>
      <c r="I140" s="151"/>
      <c r="J140" s="151"/>
      <c r="K140" s="267"/>
      <c r="L140" s="267"/>
      <c r="M140" s="267"/>
      <c r="N140" s="268"/>
      <c r="O140" s="151"/>
      <c r="P140" s="151"/>
      <c r="Q140" s="151"/>
      <c r="R140" s="151"/>
    </row>
    <row r="141" spans="1:18" ht="15.75" thickBot="1">
      <c r="A141" s="23" t="s">
        <v>153</v>
      </c>
      <c r="B141" s="269"/>
      <c r="C141" s="270"/>
      <c r="D141" s="270"/>
      <c r="E141" s="270"/>
      <c r="F141" s="270"/>
      <c r="G141" s="270"/>
      <c r="H141" s="270"/>
      <c r="I141" s="23"/>
      <c r="J141" s="23"/>
      <c r="K141" s="50"/>
      <c r="L141" s="73"/>
      <c r="M141" s="151"/>
      <c r="N141" s="136">
        <f>SUM(N133:N138)</f>
        <v>338432.71379099996</v>
      </c>
      <c r="O141" s="151"/>
      <c r="P141" s="151"/>
      <c r="Q141" s="151"/>
      <c r="R141" s="151"/>
    </row>
    <row r="142" spans="1:18" ht="15">
      <c r="A142" s="23" t="s">
        <v>154</v>
      </c>
      <c r="B142" s="269"/>
      <c r="C142" s="270"/>
      <c r="D142" s="270"/>
      <c r="E142" s="270"/>
      <c r="F142" s="270"/>
      <c r="G142" s="270"/>
      <c r="H142" s="270"/>
      <c r="I142" s="23"/>
      <c r="J142" s="23"/>
      <c r="K142" s="50"/>
      <c r="L142" s="73"/>
      <c r="M142" s="151"/>
      <c r="N142" s="151"/>
      <c r="O142" s="151"/>
      <c r="P142" s="151"/>
      <c r="Q142" s="151"/>
      <c r="R142" s="151"/>
    </row>
    <row r="143" spans="1:18" ht="15">
      <c r="A143" s="23" t="s">
        <v>148</v>
      </c>
      <c r="B143" s="269"/>
      <c r="C143" s="270"/>
      <c r="D143" s="270"/>
      <c r="E143" s="270"/>
      <c r="F143" s="270"/>
      <c r="G143" s="270"/>
      <c r="H143" s="270"/>
      <c r="I143" s="23"/>
      <c r="J143" s="23"/>
      <c r="K143" s="50"/>
      <c r="L143" s="73"/>
      <c r="M143" s="151"/>
      <c r="N143" s="151"/>
      <c r="O143" s="151"/>
      <c r="P143" s="151"/>
      <c r="Q143" s="151"/>
      <c r="R143" s="151"/>
    </row>
    <row r="144" spans="1:18" ht="15">
      <c r="A144" s="23" t="s">
        <v>149</v>
      </c>
      <c r="B144" s="269"/>
      <c r="C144" s="270"/>
      <c r="D144" s="270"/>
      <c r="E144" s="270"/>
      <c r="F144" s="270"/>
      <c r="G144" s="270"/>
      <c r="H144" s="270"/>
      <c r="I144" s="23"/>
      <c r="J144" s="23"/>
      <c r="K144" s="50"/>
      <c r="L144" s="73"/>
      <c r="M144" s="151"/>
      <c r="N144" s="151"/>
      <c r="O144" s="151"/>
      <c r="P144" s="151"/>
      <c r="Q144" s="151"/>
      <c r="R144" s="151"/>
    </row>
    <row r="145" spans="1:18" ht="12.75" customHeight="1">
      <c r="A145" s="23" t="s">
        <v>150</v>
      </c>
      <c r="B145" s="151"/>
      <c r="C145" s="151"/>
      <c r="D145" s="151"/>
      <c r="E145" s="151"/>
      <c r="F145" s="151"/>
      <c r="G145" s="151"/>
      <c r="H145" s="151"/>
      <c r="I145" s="151"/>
      <c r="J145" s="23"/>
      <c r="K145" s="50"/>
      <c r="L145" s="73"/>
      <c r="M145" s="151"/>
      <c r="N145" s="151"/>
      <c r="O145" s="151"/>
      <c r="P145" s="151"/>
      <c r="Q145" s="151"/>
      <c r="R145" s="151"/>
    </row>
    <row r="146" spans="1:18" ht="14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50"/>
      <c r="L146" s="73"/>
      <c r="M146" s="151"/>
      <c r="N146" s="151"/>
      <c r="O146" s="151"/>
      <c r="P146" s="151"/>
      <c r="Q146" s="151"/>
      <c r="R146" s="151"/>
    </row>
    <row r="147" spans="1:18" ht="15" customHeight="1">
      <c r="A147" s="23" t="s">
        <v>151</v>
      </c>
      <c r="B147" s="23"/>
      <c r="C147" s="23"/>
      <c r="D147" s="23"/>
      <c r="E147" s="23"/>
      <c r="F147" s="23"/>
      <c r="G147" s="23"/>
      <c r="H147" s="23"/>
      <c r="I147" s="271"/>
      <c r="J147" s="272"/>
      <c r="K147" s="151"/>
      <c r="L147" s="151"/>
      <c r="M147" s="151"/>
      <c r="N147" s="151"/>
      <c r="O147" s="151"/>
      <c r="P147" s="151"/>
      <c r="Q147" s="151"/>
      <c r="R147" s="151"/>
    </row>
    <row r="148" spans="1:18" ht="12.75" customHeight="1">
      <c r="A148" s="23" t="s">
        <v>155</v>
      </c>
      <c r="B148" s="23"/>
      <c r="C148" s="23"/>
      <c r="D148" s="23"/>
      <c r="E148" s="23"/>
      <c r="F148" s="23"/>
      <c r="G148" s="23"/>
      <c r="H148" s="23"/>
      <c r="I148" s="271"/>
      <c r="J148" s="151"/>
      <c r="K148" s="151"/>
      <c r="L148" s="151"/>
      <c r="M148" s="151"/>
      <c r="N148" s="151"/>
      <c r="O148" s="151"/>
      <c r="P148" s="151"/>
      <c r="Q148" s="151"/>
      <c r="R148" s="151"/>
    </row>
    <row r="149" spans="1:18" ht="17.25" customHeight="1">
      <c r="A149" s="23" t="s">
        <v>156</v>
      </c>
      <c r="B149" s="23"/>
      <c r="C149" s="23"/>
      <c r="D149" s="23"/>
      <c r="E149" s="23"/>
      <c r="F149" s="23"/>
      <c r="G149" s="23"/>
      <c r="H149" s="23"/>
      <c r="I149" s="271"/>
      <c r="J149" s="272"/>
      <c r="K149" s="151"/>
      <c r="L149" s="151"/>
      <c r="M149" s="151"/>
      <c r="N149" s="151"/>
      <c r="O149" s="151"/>
      <c r="P149" s="151"/>
      <c r="Q149" s="151"/>
      <c r="R149" s="151"/>
    </row>
    <row r="150" spans="1:18" ht="12.75">
      <c r="A150" s="151" t="s">
        <v>152</v>
      </c>
      <c r="B150" s="151"/>
      <c r="C150" s="151"/>
      <c r="D150" s="151"/>
      <c r="E150" s="151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</row>
    <row r="151" spans="1:18" ht="12.75" customHeight="1">
      <c r="A151" s="284"/>
      <c r="B151" s="284"/>
      <c r="C151" s="284"/>
      <c r="D151" s="284"/>
      <c r="E151" s="284"/>
      <c r="F151" s="284"/>
      <c r="G151" s="284"/>
      <c r="H151" s="284"/>
      <c r="I151" s="284"/>
      <c r="J151" s="272"/>
      <c r="K151" s="151"/>
      <c r="L151" s="151"/>
      <c r="M151" s="151"/>
      <c r="N151" s="151"/>
      <c r="O151" s="151"/>
      <c r="P151" s="151"/>
      <c r="Q151" s="151"/>
      <c r="R151" s="151"/>
    </row>
    <row r="152" spans="1:8" ht="12.75">
      <c r="A152" s="236"/>
      <c r="B152" s="236"/>
      <c r="C152" s="236"/>
      <c r="D152" s="236"/>
      <c r="E152" s="236"/>
      <c r="F152" s="236"/>
      <c r="H152" s="2" t="s">
        <v>133</v>
      </c>
    </row>
    <row r="153" spans="1:6" ht="12.75">
      <c r="A153" s="236"/>
      <c r="B153" s="236"/>
      <c r="C153" s="236"/>
      <c r="D153" s="236"/>
      <c r="E153" s="236"/>
      <c r="F153" s="236"/>
    </row>
    <row r="154" spans="1:8" ht="12.75">
      <c r="A154" s="236"/>
      <c r="B154" s="236"/>
      <c r="C154" s="236"/>
      <c r="D154" s="236"/>
      <c r="E154" s="236"/>
      <c r="F154" s="236"/>
      <c r="H154" s="2" t="s">
        <v>134</v>
      </c>
    </row>
  </sheetData>
  <sheetProtection/>
  <mergeCells count="22">
    <mergeCell ref="E116:G116"/>
    <mergeCell ref="B81:E81"/>
    <mergeCell ref="B108:D108"/>
    <mergeCell ref="B109:D109"/>
    <mergeCell ref="B110:D110"/>
    <mergeCell ref="B116:D116"/>
    <mergeCell ref="B119:D119"/>
    <mergeCell ref="B120:D120"/>
    <mergeCell ref="B121:D121"/>
    <mergeCell ref="E118:G118"/>
    <mergeCell ref="B118:D118"/>
    <mergeCell ref="E117:G117"/>
    <mergeCell ref="A151:I151"/>
    <mergeCell ref="B107:D107"/>
    <mergeCell ref="B111:D111"/>
    <mergeCell ref="B112:D112"/>
    <mergeCell ref="B113:D113"/>
    <mergeCell ref="B114:D114"/>
    <mergeCell ref="B115:D115"/>
    <mergeCell ref="B117:D117"/>
    <mergeCell ref="B122:D122"/>
    <mergeCell ref="B123:D123"/>
  </mergeCells>
  <hyperlinks>
    <hyperlink ref="B25" r:id="rId1" display="www.soyaprotein.com"/>
    <hyperlink ref="B26" r:id="rId2" display="office@soyaprotein.com"/>
  </hyperlinks>
  <printOptions/>
  <pageMargins left="0.2362204724409449" right="0.11811023622047245" top="1.1811023622047245" bottom="0.3937007874015748" header="0.3937007874015748" footer="0.31496062992125984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jovo</dc:creator>
  <cp:keywords/>
  <dc:description/>
  <cp:lastModifiedBy>Biljana Stojanovic</cp:lastModifiedBy>
  <cp:lastPrinted>2010-08-26T07:03:57Z</cp:lastPrinted>
  <dcterms:created xsi:type="dcterms:W3CDTF">2007-10-27T09:26:42Z</dcterms:created>
  <dcterms:modified xsi:type="dcterms:W3CDTF">2010-08-31T11:27:47Z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