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BU I-XII" sheetId="1" r:id="rId1"/>
    <sheet name="BS I-XII" sheetId="2" r:id="rId2"/>
    <sheet name="novcani tok" sheetId="3" r:id="rId3"/>
  </sheets>
  <definedNames/>
  <calcPr fullCalcOnLoad="1"/>
</workbook>
</file>

<file path=xl/sharedStrings.xml><?xml version="1.0" encoding="utf-8"?>
<sst xmlns="http://schemas.openxmlformats.org/spreadsheetml/2006/main" count="219" uniqueCount="108">
  <si>
    <t>u 000 din</t>
  </si>
  <si>
    <t>METALAC a.d.</t>
  </si>
  <si>
    <t>POSUĐE</t>
  </si>
  <si>
    <t>INKO</t>
  </si>
  <si>
    <t>PRINT</t>
  </si>
  <si>
    <t>BOJLER</t>
  </si>
  <si>
    <t>MARKET</t>
  </si>
  <si>
    <t>TRADE</t>
  </si>
  <si>
    <t>METALURGIJA</t>
  </si>
  <si>
    <t>PROLETER</t>
  </si>
  <si>
    <t>METROT</t>
  </si>
  <si>
    <t>MARKET-Podgorica</t>
  </si>
  <si>
    <t>PROMO-METAL</t>
  </si>
  <si>
    <t>u eur</t>
  </si>
  <si>
    <t>Stalna imovina</t>
  </si>
  <si>
    <t>Obrtna imovina</t>
  </si>
  <si>
    <t>Kapital</t>
  </si>
  <si>
    <t>Dugoročne obaveze</t>
  </si>
  <si>
    <t>Nematerijlna ulaganja,nekretnine i oprema</t>
  </si>
  <si>
    <t xml:space="preserve">Učešće u kapitalu                  </t>
  </si>
  <si>
    <t>AKTIVA</t>
  </si>
  <si>
    <t>PASIVA</t>
  </si>
  <si>
    <t>Osnovni kapital</t>
  </si>
  <si>
    <t>Ostali kapital</t>
  </si>
  <si>
    <t>Neraspoređena dobit</t>
  </si>
  <si>
    <t>Gubitak</t>
  </si>
  <si>
    <t>Dugoročna rezervisanja</t>
  </si>
  <si>
    <t>Dugoročni krediti</t>
  </si>
  <si>
    <t>Kratkoročne obaveze</t>
  </si>
  <si>
    <t>Obaveze iz poslovanja (dobavljači)</t>
  </si>
  <si>
    <t>Ostale obaveze</t>
  </si>
  <si>
    <t>Odložne poreske obaveze</t>
  </si>
  <si>
    <t>Rezerve</t>
  </si>
  <si>
    <t>Kratkoročni kreidti</t>
  </si>
  <si>
    <t>Gubitak iznad visine kapitala</t>
  </si>
  <si>
    <t>Ostale dugoročne obaveze (zajmovi)</t>
  </si>
  <si>
    <t>Dugoročni zajmovi ZD</t>
  </si>
  <si>
    <t>Potraživanja (kupci)</t>
  </si>
  <si>
    <t>Kratkoročni zajmovi ZD</t>
  </si>
  <si>
    <t>Krat. fin.plasmani (potrošački zajmovi)</t>
  </si>
  <si>
    <t>Zalihe</t>
  </si>
  <si>
    <t>Ostala potraživanja</t>
  </si>
  <si>
    <t>Gotovina i gotovinski ekvivalent</t>
  </si>
  <si>
    <t>POSLOVNI PRIHODI</t>
  </si>
  <si>
    <t>Prihod od prodaje</t>
  </si>
  <si>
    <t>Prihod od prodaje na domaćem tržištu</t>
  </si>
  <si>
    <t>Prihod od prodaje na ino. tržištu</t>
  </si>
  <si>
    <t>Prihod od aktiviranja učinaka i robe</t>
  </si>
  <si>
    <t>Povećanje vrednosti zaliha učinaka</t>
  </si>
  <si>
    <t>Smanjnje vrednosti zaliha učinaka</t>
  </si>
  <si>
    <t>Ostali poslovni prihodi</t>
  </si>
  <si>
    <t>POSLOVNI RASHODI</t>
  </si>
  <si>
    <t>Nabavna rvrednost prodate robe</t>
  </si>
  <si>
    <t>Troškovi materijala i energije</t>
  </si>
  <si>
    <t>Troškovi zarada i ostali lični rashodi</t>
  </si>
  <si>
    <t>Troškovi amortizacije</t>
  </si>
  <si>
    <t>Ostali poslovni rashodi</t>
  </si>
  <si>
    <t>POSLOVNI DOBITAK / GUBITAK</t>
  </si>
  <si>
    <t>FINANSIJSKI PRIHODI</t>
  </si>
  <si>
    <t>FINANSIJSKI RASHODI</t>
  </si>
  <si>
    <t>OSTALI PRIHODI</t>
  </si>
  <si>
    <t>OSTALI RASHODI</t>
  </si>
  <si>
    <t>FINANSIJSKI DOBITAK / GUBITAK</t>
  </si>
  <si>
    <t>OSTALI DOBITAK / GUBITAK</t>
  </si>
  <si>
    <t>Tokovi gotovine iz poslovnih aktivnosti</t>
  </si>
  <si>
    <t>Prodaja i primljeni avansi</t>
  </si>
  <si>
    <t>Primljene kamate iz poslovnih aktivnosti</t>
  </si>
  <si>
    <t>Ostali prilivi iz redovnog poslovanja</t>
  </si>
  <si>
    <t>Isplate dobavljačima i dati avansi</t>
  </si>
  <si>
    <t>Zarade, naknade zarada i ostali lični rashodi</t>
  </si>
  <si>
    <t>Plaćene kamate</t>
  </si>
  <si>
    <t>Porez na dobitak</t>
  </si>
  <si>
    <t>Plaćanja po osnovu ostalih javnih prihoda</t>
  </si>
  <si>
    <t>Neto priliv/odliv iz poslovnih aktivnosti</t>
  </si>
  <si>
    <t>Tokovi gotovine iz aktivnosti investiranja</t>
  </si>
  <si>
    <t>Prodaja akcija i udela (neto priliv)</t>
  </si>
  <si>
    <t>Prodaja nekretnina, postrojenja i opreme</t>
  </si>
  <si>
    <t>Ostali finansijski plasmani (neto priliv)</t>
  </si>
  <si>
    <t>Primljene kamate</t>
  </si>
  <si>
    <t>Primljene dividende</t>
  </si>
  <si>
    <t>Kupovina akcija i udela (neto odliv)</t>
  </si>
  <si>
    <t>Kupovina nemater. ulaganja, nekretnina i opreme</t>
  </si>
  <si>
    <t>Ostali finansijski plasmnai (neto odliv)</t>
  </si>
  <si>
    <t>Neto priliv/odliv iz aktivnosti investiranja</t>
  </si>
  <si>
    <t>Tokovi gotovine iz aktivnosti finansiranja</t>
  </si>
  <si>
    <t>Dugoročni i kratkoročni krediti (neto priliv/odliv)</t>
  </si>
  <si>
    <t>Isplaćena dividenda i učešća u dobitku</t>
  </si>
  <si>
    <t>Finansijski lizing</t>
  </si>
  <si>
    <t>Neto odliv iz aktivnosti finansiranja</t>
  </si>
  <si>
    <t>Neto priliv/odliv gotovine</t>
  </si>
  <si>
    <t>Gotovina na početku obračunskog perioda</t>
  </si>
  <si>
    <t>Gotovina na kraju obračunskog perioda</t>
  </si>
  <si>
    <t xml:space="preserve">Pozitivne kursne razlike </t>
  </si>
  <si>
    <t>METPOR</t>
  </si>
  <si>
    <t>Pozitivne(negativne) kusne razlike</t>
  </si>
  <si>
    <t>Uvećanje osnovnog kapitala</t>
  </si>
  <si>
    <t>Ostali finansijski plasmnai (neto priliv/odliv)</t>
  </si>
  <si>
    <t>Kratkoročni krediti</t>
  </si>
  <si>
    <t>METALAC UKRAJINA</t>
  </si>
  <si>
    <t>METALAC GROUP - USA</t>
  </si>
  <si>
    <t xml:space="preserve">BRUTO DOBITAK / GUBITAK </t>
  </si>
  <si>
    <t xml:space="preserve">NETO DOBITAK / GUBITAK </t>
  </si>
  <si>
    <t>Odložena poreska sredstva</t>
  </si>
  <si>
    <t>BILANS USPEHA -  METALAC-GRUPA ZA  2011. GODINU</t>
  </si>
  <si>
    <t>BILANS STANJA - METALAC-GRUPA ZA  2011. GODINU</t>
  </si>
  <si>
    <t>IZVEŠTAJ O TOKOVIMA GOTOVINE - METALAC-GRUPA ZA  2011. GODINU</t>
  </si>
  <si>
    <t>GENERALNI DIREKTOR</t>
  </si>
  <si>
    <t>Petrašin Jakovljević, dipl. ing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</si>
</sst>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;[Red]#,##0"/>
    <numFmt numFmtId="176" formatCode="#,##0;[Black]\(#,##0\)"/>
  </numFmts>
  <fonts count="4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top" wrapText="1"/>
    </xf>
    <xf numFmtId="176" fontId="4" fillId="0" borderId="1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6" fontId="4" fillId="0" borderId="13" xfId="0" applyNumberFormat="1" applyFont="1" applyBorder="1" applyAlignment="1">
      <alignment horizontal="right" vertical="center" wrapText="1"/>
    </xf>
    <xf numFmtId="176" fontId="3" fillId="0" borderId="21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3" fontId="4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vertical="top" wrapText="1"/>
    </xf>
    <xf numFmtId="3" fontId="4" fillId="0" borderId="2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vertical="top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/>
    </xf>
    <xf numFmtId="176" fontId="3" fillId="0" borderId="26" xfId="0" applyNumberFormat="1" applyFont="1" applyBorder="1" applyAlignment="1">
      <alignment horizontal="right" vertical="center" wrapText="1"/>
    </xf>
    <xf numFmtId="176" fontId="3" fillId="0" borderId="25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76" fontId="3" fillId="0" borderId="28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top" wrapText="1"/>
    </xf>
    <xf numFmtId="3" fontId="3" fillId="0" borderId="30" xfId="0" applyNumberFormat="1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horizontal="right" vertical="center" wrapText="1"/>
    </xf>
    <xf numFmtId="176" fontId="3" fillId="0" borderId="31" xfId="0" applyNumberFormat="1" applyFont="1" applyBorder="1" applyAlignment="1">
      <alignment horizontal="right" vertical="center" wrapText="1"/>
    </xf>
    <xf numFmtId="176" fontId="3" fillId="0" borderId="3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/>
    </xf>
    <xf numFmtId="0" fontId="5" fillId="0" borderId="2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34">
      <selection activeCell="H38" sqref="H38"/>
    </sheetView>
  </sheetViews>
  <sheetFormatPr defaultColWidth="9.140625" defaultRowHeight="12.75"/>
  <cols>
    <col min="1" max="1" width="34.00390625" style="33" customWidth="1"/>
    <col min="2" max="2" width="10.8515625" style="33" customWidth="1"/>
    <col min="3" max="3" width="8.8515625" style="33" customWidth="1"/>
    <col min="4" max="4" width="8.28125" style="33" customWidth="1"/>
    <col min="5" max="5" width="9.57421875" style="33" customWidth="1"/>
    <col min="6" max="6" width="9.28125" style="33" customWidth="1"/>
    <col min="7" max="7" width="9.57421875" style="33" customWidth="1"/>
    <col min="8" max="8" width="9.00390625" style="33" customWidth="1"/>
    <col min="9" max="9" width="9.57421875" style="33" customWidth="1"/>
    <col min="10" max="10" width="12.28125" style="33" customWidth="1"/>
    <col min="11" max="11" width="10.7109375" style="33" customWidth="1"/>
    <col min="12" max="16384" width="9.140625" style="33" customWidth="1"/>
  </cols>
  <sheetData>
    <row r="1" spans="1:9" ht="14.25" customHeight="1">
      <c r="A1" s="80" t="s">
        <v>103</v>
      </c>
      <c r="B1" s="80"/>
      <c r="C1" s="80"/>
      <c r="D1" s="80"/>
      <c r="E1" s="80"/>
      <c r="F1" s="80"/>
      <c r="G1" s="80"/>
      <c r="H1" s="80"/>
      <c r="I1" s="41"/>
    </row>
    <row r="2" spans="1:11" ht="16.5" customHeight="1" thickBot="1">
      <c r="A2" s="1"/>
      <c r="B2" s="1"/>
      <c r="C2" s="34"/>
      <c r="D2" s="21"/>
      <c r="E2" s="21"/>
      <c r="F2" s="21"/>
      <c r="G2" s="35"/>
      <c r="H2" s="35"/>
      <c r="I2" s="35"/>
      <c r="K2" s="38" t="s">
        <v>0</v>
      </c>
    </row>
    <row r="3" spans="1:11" ht="16.5" customHeight="1">
      <c r="A3" s="6"/>
      <c r="B3" s="74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93</v>
      </c>
      <c r="J3" s="46" t="s">
        <v>8</v>
      </c>
      <c r="K3" s="75" t="s">
        <v>9</v>
      </c>
    </row>
    <row r="4" spans="1:11" ht="12.75" customHeight="1">
      <c r="A4" s="7" t="s">
        <v>43</v>
      </c>
      <c r="B4" s="5">
        <f>B6+B9+B10-B11+B12</f>
        <v>650884</v>
      </c>
      <c r="C4" s="5">
        <f>C6+C9+C10+C11+C12</f>
        <v>2353611</v>
      </c>
      <c r="D4" s="5">
        <f>D6+D9+D10+D11+D12</f>
        <v>181011</v>
      </c>
      <c r="E4" s="5">
        <f aca="true" t="shared" si="0" ref="E4:K4">E6+E9+E10-E11+E12</f>
        <v>309530</v>
      </c>
      <c r="F4" s="5">
        <f t="shared" si="0"/>
        <v>373926</v>
      </c>
      <c r="G4" s="5">
        <f t="shared" si="0"/>
        <v>743096</v>
      </c>
      <c r="H4" s="5">
        <f t="shared" si="0"/>
        <v>305522</v>
      </c>
      <c r="I4" s="5">
        <f t="shared" si="0"/>
        <v>54822</v>
      </c>
      <c r="J4" s="5">
        <f t="shared" si="0"/>
        <v>743998</v>
      </c>
      <c r="K4" s="5">
        <f t="shared" si="0"/>
        <v>654913</v>
      </c>
    </row>
    <row r="5" spans="1:11" ht="12.7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10"/>
    </row>
    <row r="6" spans="1:11" ht="12.75" customHeight="1">
      <c r="A6" s="7" t="s">
        <v>44</v>
      </c>
      <c r="B6" s="4">
        <f aca="true" t="shared" si="1" ref="B6:K6">SUM(B7:B8)</f>
        <v>346774</v>
      </c>
      <c r="C6" s="4">
        <f t="shared" si="1"/>
        <v>2254408</v>
      </c>
      <c r="D6" s="4">
        <f t="shared" si="1"/>
        <v>173495</v>
      </c>
      <c r="E6" s="4">
        <f t="shared" si="1"/>
        <v>305102</v>
      </c>
      <c r="F6" s="4">
        <f t="shared" si="1"/>
        <v>348001</v>
      </c>
      <c r="G6" s="4">
        <f t="shared" si="1"/>
        <v>740375</v>
      </c>
      <c r="H6" s="4">
        <f t="shared" si="1"/>
        <v>305307</v>
      </c>
      <c r="I6" s="4">
        <f t="shared" si="1"/>
        <v>52943</v>
      </c>
      <c r="J6" s="4">
        <f t="shared" si="1"/>
        <v>725009</v>
      </c>
      <c r="K6" s="11">
        <f t="shared" si="1"/>
        <v>613998</v>
      </c>
    </row>
    <row r="7" spans="1:11" ht="12.75" customHeight="1">
      <c r="A7" s="9" t="s">
        <v>45</v>
      </c>
      <c r="B7" s="3">
        <v>257038</v>
      </c>
      <c r="C7" s="3">
        <v>887172</v>
      </c>
      <c r="D7" s="3">
        <v>99609</v>
      </c>
      <c r="E7" s="3">
        <v>302778</v>
      </c>
      <c r="F7" s="3">
        <v>253801</v>
      </c>
      <c r="G7" s="3">
        <v>740375</v>
      </c>
      <c r="H7" s="3">
        <v>225814</v>
      </c>
      <c r="I7" s="3">
        <f>43210+9353</f>
        <v>52563</v>
      </c>
      <c r="J7" s="3">
        <v>725009</v>
      </c>
      <c r="K7" s="10">
        <v>613998</v>
      </c>
    </row>
    <row r="8" spans="1:11" ht="12.75" customHeight="1">
      <c r="A8" s="9" t="s">
        <v>46</v>
      </c>
      <c r="B8" s="3">
        <v>89736</v>
      </c>
      <c r="C8" s="3">
        <v>1367236</v>
      </c>
      <c r="D8" s="3">
        <v>73886</v>
      </c>
      <c r="E8" s="3">
        <v>2324</v>
      </c>
      <c r="F8" s="3">
        <v>94200</v>
      </c>
      <c r="G8" s="3">
        <v>0</v>
      </c>
      <c r="H8" s="3">
        <v>79493</v>
      </c>
      <c r="I8" s="3">
        <v>380</v>
      </c>
      <c r="J8" s="3">
        <v>0</v>
      </c>
      <c r="K8" s="10">
        <v>0</v>
      </c>
    </row>
    <row r="9" spans="1:11" ht="12.75" customHeight="1">
      <c r="A9" s="9" t="s">
        <v>47</v>
      </c>
      <c r="B9" s="3">
        <v>0</v>
      </c>
      <c r="C9" s="3">
        <v>12771</v>
      </c>
      <c r="D9" s="3">
        <v>372</v>
      </c>
      <c r="E9" s="20">
        <v>0</v>
      </c>
      <c r="F9" s="3">
        <v>470</v>
      </c>
      <c r="G9" s="3">
        <v>104</v>
      </c>
      <c r="H9" s="3">
        <v>0</v>
      </c>
      <c r="I9" s="3">
        <v>0</v>
      </c>
      <c r="J9" s="3">
        <v>703</v>
      </c>
      <c r="K9" s="10">
        <v>1236</v>
      </c>
    </row>
    <row r="10" spans="1:11" ht="12.75" customHeight="1">
      <c r="A10" s="9" t="s">
        <v>48</v>
      </c>
      <c r="B10" s="3">
        <v>0</v>
      </c>
      <c r="C10" s="3">
        <v>37053</v>
      </c>
      <c r="D10" s="3">
        <v>7640</v>
      </c>
      <c r="E10" s="3">
        <v>1365</v>
      </c>
      <c r="F10" s="20">
        <v>21261</v>
      </c>
      <c r="G10" s="3">
        <v>0</v>
      </c>
      <c r="H10" s="3">
        <v>0</v>
      </c>
      <c r="I10" s="3">
        <v>0</v>
      </c>
      <c r="J10" s="3">
        <v>0</v>
      </c>
      <c r="K10" s="10">
        <v>0</v>
      </c>
    </row>
    <row r="11" spans="1:11" ht="12.75" customHeight="1">
      <c r="A11" s="9" t="s">
        <v>49</v>
      </c>
      <c r="B11" s="3">
        <v>0</v>
      </c>
      <c r="C11" s="20">
        <v>-7614</v>
      </c>
      <c r="D11" s="20">
        <v>-757</v>
      </c>
      <c r="E11" s="20">
        <v>0</v>
      </c>
      <c r="F11" s="20">
        <v>0</v>
      </c>
      <c r="G11" s="3">
        <v>0</v>
      </c>
      <c r="H11" s="3">
        <v>0</v>
      </c>
      <c r="I11" s="3">
        <v>0</v>
      </c>
      <c r="J11" s="3">
        <v>0</v>
      </c>
      <c r="K11" s="10">
        <v>0</v>
      </c>
    </row>
    <row r="12" spans="1:11" ht="12.75" customHeight="1">
      <c r="A12" s="9" t="s">
        <v>50</v>
      </c>
      <c r="B12" s="3">
        <v>304110</v>
      </c>
      <c r="C12" s="3">
        <v>56993</v>
      </c>
      <c r="D12" s="3">
        <v>261</v>
      </c>
      <c r="E12" s="3">
        <v>3063</v>
      </c>
      <c r="F12" s="3">
        <v>4194</v>
      </c>
      <c r="G12" s="3">
        <v>2617</v>
      </c>
      <c r="H12" s="3">
        <v>215</v>
      </c>
      <c r="I12" s="3">
        <v>1879</v>
      </c>
      <c r="J12" s="3">
        <v>18286</v>
      </c>
      <c r="K12" s="10">
        <v>39679</v>
      </c>
    </row>
    <row r="13" spans="1:11" ht="12.75" customHeight="1">
      <c r="A13" s="9"/>
      <c r="B13" s="3"/>
      <c r="C13" s="3"/>
      <c r="D13" s="3"/>
      <c r="E13" s="3"/>
      <c r="F13" s="3"/>
      <c r="G13" s="4"/>
      <c r="H13" s="4"/>
      <c r="I13" s="4"/>
      <c r="J13" s="4"/>
      <c r="K13" s="11"/>
    </row>
    <row r="14" spans="1:11" ht="12.75" customHeight="1">
      <c r="A14" s="7" t="s">
        <v>51</v>
      </c>
      <c r="B14" s="4">
        <f aca="true" t="shared" si="2" ref="B14:K14">SUM(B16:B20)</f>
        <v>596131</v>
      </c>
      <c r="C14" s="4">
        <f t="shared" si="2"/>
        <v>1988310</v>
      </c>
      <c r="D14" s="4">
        <f t="shared" si="2"/>
        <v>185308</v>
      </c>
      <c r="E14" s="4">
        <f t="shared" si="2"/>
        <v>284399</v>
      </c>
      <c r="F14" s="4">
        <f t="shared" si="2"/>
        <v>361776</v>
      </c>
      <c r="G14" s="4">
        <f t="shared" si="2"/>
        <v>772426</v>
      </c>
      <c r="H14" s="4">
        <f t="shared" si="2"/>
        <v>230618</v>
      </c>
      <c r="I14" s="4">
        <f t="shared" si="2"/>
        <v>49648</v>
      </c>
      <c r="J14" s="4">
        <f t="shared" si="2"/>
        <v>734265</v>
      </c>
      <c r="K14" s="11">
        <f t="shared" si="2"/>
        <v>657360</v>
      </c>
    </row>
    <row r="15" spans="1:11" ht="12.75" customHeight="1">
      <c r="A15" s="9"/>
      <c r="B15" s="3"/>
      <c r="C15" s="3"/>
      <c r="D15" s="3"/>
      <c r="E15" s="3"/>
      <c r="F15" s="3"/>
      <c r="G15" s="3"/>
      <c r="H15" s="3"/>
      <c r="I15" s="3"/>
      <c r="J15" s="3"/>
      <c r="K15" s="10"/>
    </row>
    <row r="16" spans="1:11" ht="12.75" customHeight="1">
      <c r="A16" s="9" t="s">
        <v>52</v>
      </c>
      <c r="B16" s="3">
        <v>5025</v>
      </c>
      <c r="C16" s="3">
        <v>24562</v>
      </c>
      <c r="D16" s="3">
        <v>6218</v>
      </c>
      <c r="E16" s="3">
        <v>21734</v>
      </c>
      <c r="F16" s="3">
        <v>389</v>
      </c>
      <c r="G16" s="3">
        <v>584277</v>
      </c>
      <c r="H16" s="3">
        <v>171259</v>
      </c>
      <c r="I16" s="3">
        <v>33558</v>
      </c>
      <c r="J16" s="3">
        <v>601226</v>
      </c>
      <c r="K16" s="10">
        <v>519410</v>
      </c>
    </row>
    <row r="17" spans="1:11" ht="12.75" customHeight="1">
      <c r="A17" s="9" t="s">
        <v>53</v>
      </c>
      <c r="B17" s="3">
        <v>204720</v>
      </c>
      <c r="C17" s="3">
        <v>1137705</v>
      </c>
      <c r="D17" s="3">
        <v>102567</v>
      </c>
      <c r="E17" s="3">
        <v>169064</v>
      </c>
      <c r="F17" s="3">
        <v>237054</v>
      </c>
      <c r="G17" s="3">
        <v>6541</v>
      </c>
      <c r="H17" s="3">
        <v>2410</v>
      </c>
      <c r="I17" s="3">
        <v>800</v>
      </c>
      <c r="J17" s="3">
        <v>14374</v>
      </c>
      <c r="K17" s="10">
        <v>21387</v>
      </c>
    </row>
    <row r="18" spans="1:11" ht="12.75" customHeight="1">
      <c r="A18" s="9" t="s">
        <v>54</v>
      </c>
      <c r="B18" s="3">
        <v>158944</v>
      </c>
      <c r="C18" s="3">
        <v>422103</v>
      </c>
      <c r="D18" s="3">
        <v>26463</v>
      </c>
      <c r="E18" s="3">
        <v>46164</v>
      </c>
      <c r="F18" s="3">
        <v>44418</v>
      </c>
      <c r="G18" s="3">
        <v>88644</v>
      </c>
      <c r="H18" s="3">
        <v>18882</v>
      </c>
      <c r="I18" s="3">
        <v>11092</v>
      </c>
      <c r="J18" s="3">
        <v>71152</v>
      </c>
      <c r="K18" s="10">
        <v>75312</v>
      </c>
    </row>
    <row r="19" spans="1:11" ht="12.75" customHeight="1">
      <c r="A19" s="9" t="s">
        <v>55</v>
      </c>
      <c r="B19" s="3">
        <v>112285</v>
      </c>
      <c r="C19" s="3">
        <v>22668</v>
      </c>
      <c r="D19" s="3">
        <v>13207</v>
      </c>
      <c r="E19" s="3">
        <v>1400</v>
      </c>
      <c r="F19" s="3">
        <v>15080</v>
      </c>
      <c r="G19" s="3">
        <v>3074</v>
      </c>
      <c r="H19" s="3">
        <v>966</v>
      </c>
      <c r="I19" s="3">
        <v>446</v>
      </c>
      <c r="J19" s="3">
        <v>13176</v>
      </c>
      <c r="K19" s="10">
        <v>13660</v>
      </c>
    </row>
    <row r="20" spans="1:11" ht="12.75" customHeight="1">
      <c r="A20" s="9" t="s">
        <v>56</v>
      </c>
      <c r="B20" s="3">
        <v>115157</v>
      </c>
      <c r="C20" s="3">
        <v>381272</v>
      </c>
      <c r="D20" s="3">
        <v>36853</v>
      </c>
      <c r="E20" s="3">
        <v>46037</v>
      </c>
      <c r="F20" s="3">
        <v>64835</v>
      </c>
      <c r="G20" s="3">
        <v>89890</v>
      </c>
      <c r="H20" s="3">
        <v>37101</v>
      </c>
      <c r="I20" s="3">
        <v>3752</v>
      </c>
      <c r="J20" s="3">
        <v>34337</v>
      </c>
      <c r="K20" s="10">
        <v>27591</v>
      </c>
    </row>
    <row r="21" spans="1:11" ht="12.75" customHeight="1">
      <c r="A21" s="9"/>
      <c r="B21" s="3"/>
      <c r="C21" s="3"/>
      <c r="D21" s="3"/>
      <c r="E21" s="3"/>
      <c r="F21" s="3"/>
      <c r="G21" s="3"/>
      <c r="H21" s="3"/>
      <c r="I21" s="3"/>
      <c r="J21" s="3"/>
      <c r="K21" s="10"/>
    </row>
    <row r="22" spans="1:11" ht="12.75" customHeight="1">
      <c r="A22" s="7" t="s">
        <v>57</v>
      </c>
      <c r="B22" s="4">
        <f aca="true" t="shared" si="3" ref="B22:K22">SUM(B4-B14)</f>
        <v>54753</v>
      </c>
      <c r="C22" s="4">
        <f t="shared" si="3"/>
        <v>365301</v>
      </c>
      <c r="D22" s="22">
        <f t="shared" si="3"/>
        <v>-4297</v>
      </c>
      <c r="E22" s="22">
        <f t="shared" si="3"/>
        <v>25131</v>
      </c>
      <c r="F22" s="22">
        <f t="shared" si="3"/>
        <v>12150</v>
      </c>
      <c r="G22" s="22">
        <f t="shared" si="3"/>
        <v>-29330</v>
      </c>
      <c r="H22" s="22">
        <f t="shared" si="3"/>
        <v>74904</v>
      </c>
      <c r="I22" s="22">
        <f t="shared" si="3"/>
        <v>5174</v>
      </c>
      <c r="J22" s="22">
        <f t="shared" si="3"/>
        <v>9733</v>
      </c>
      <c r="K22" s="25">
        <f t="shared" si="3"/>
        <v>-2447</v>
      </c>
    </row>
    <row r="23" spans="1:11" ht="12.75" customHeight="1">
      <c r="A23" s="14"/>
      <c r="B23" s="3"/>
      <c r="C23" s="3"/>
      <c r="D23" s="3"/>
      <c r="E23" s="3"/>
      <c r="F23" s="3"/>
      <c r="G23" s="3"/>
      <c r="H23" s="3"/>
      <c r="I23" s="3"/>
      <c r="J23" s="3"/>
      <c r="K23" s="10"/>
    </row>
    <row r="24" spans="1:11" ht="12.75" customHeight="1">
      <c r="A24" s="19" t="s">
        <v>58</v>
      </c>
      <c r="B24" s="4">
        <v>375653</v>
      </c>
      <c r="C24" s="4">
        <v>81771</v>
      </c>
      <c r="D24" s="22">
        <v>2361</v>
      </c>
      <c r="E24" s="4">
        <v>1248</v>
      </c>
      <c r="F24" s="4">
        <v>3232</v>
      </c>
      <c r="G24" s="4">
        <v>43510</v>
      </c>
      <c r="H24" s="4">
        <v>6011</v>
      </c>
      <c r="I24" s="4">
        <v>140</v>
      </c>
      <c r="J24" s="4">
        <v>7772</v>
      </c>
      <c r="K24" s="11">
        <v>1519</v>
      </c>
    </row>
    <row r="25" spans="1:11" ht="12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10"/>
    </row>
    <row r="26" spans="1:11" ht="12.75" customHeight="1">
      <c r="A26" s="7" t="s">
        <v>59</v>
      </c>
      <c r="B26" s="4">
        <v>15089</v>
      </c>
      <c r="C26" s="4">
        <v>170226</v>
      </c>
      <c r="D26" s="4">
        <v>12956</v>
      </c>
      <c r="E26" s="4">
        <v>5607</v>
      </c>
      <c r="F26" s="4">
        <v>17053</v>
      </c>
      <c r="G26" s="4">
        <v>10417</v>
      </c>
      <c r="H26" s="4">
        <v>13009</v>
      </c>
      <c r="I26" s="4">
        <v>2251</v>
      </c>
      <c r="J26" s="4">
        <v>7710</v>
      </c>
      <c r="K26" s="11">
        <v>7372</v>
      </c>
    </row>
    <row r="27" spans="1:11" ht="12.75" customHeight="1">
      <c r="A27" s="7"/>
      <c r="B27" s="4"/>
      <c r="C27" s="4"/>
      <c r="D27" s="4"/>
      <c r="E27" s="4"/>
      <c r="F27" s="4"/>
      <c r="G27" s="4"/>
      <c r="H27" s="4"/>
      <c r="I27" s="4"/>
      <c r="J27" s="4"/>
      <c r="K27" s="11"/>
    </row>
    <row r="28" spans="1:11" ht="12.75" customHeight="1">
      <c r="A28" s="7" t="s">
        <v>62</v>
      </c>
      <c r="B28" s="22">
        <f>SUM(B24-B26)</f>
        <v>360564</v>
      </c>
      <c r="C28" s="22">
        <f>SUM(C24-C26)</f>
        <v>-88455</v>
      </c>
      <c r="D28" s="22">
        <f aca="true" t="shared" si="4" ref="D28:K28">SUM(D24-D26)</f>
        <v>-10595</v>
      </c>
      <c r="E28" s="22">
        <f t="shared" si="4"/>
        <v>-4359</v>
      </c>
      <c r="F28" s="22">
        <f t="shared" si="4"/>
        <v>-13821</v>
      </c>
      <c r="G28" s="22">
        <f t="shared" si="4"/>
        <v>33093</v>
      </c>
      <c r="H28" s="22">
        <f t="shared" si="4"/>
        <v>-6998</v>
      </c>
      <c r="I28" s="22">
        <f t="shared" si="4"/>
        <v>-2111</v>
      </c>
      <c r="J28" s="22">
        <f t="shared" si="4"/>
        <v>62</v>
      </c>
      <c r="K28" s="25">
        <f t="shared" si="4"/>
        <v>-5853</v>
      </c>
    </row>
    <row r="29" spans="1:11" ht="12.75" customHeight="1">
      <c r="A29" s="9"/>
      <c r="B29" s="3"/>
      <c r="C29" s="3"/>
      <c r="D29" s="3"/>
      <c r="E29" s="3"/>
      <c r="F29" s="3"/>
      <c r="G29" s="3"/>
      <c r="H29" s="3"/>
      <c r="I29" s="3"/>
      <c r="J29" s="3"/>
      <c r="K29" s="10"/>
    </row>
    <row r="30" spans="1:11" ht="12.75" customHeight="1">
      <c r="A30" s="7" t="s">
        <v>60</v>
      </c>
      <c r="B30" s="4">
        <v>4790</v>
      </c>
      <c r="C30" s="4">
        <v>204</v>
      </c>
      <c r="D30" s="4">
        <v>0</v>
      </c>
      <c r="E30" s="4">
        <v>80</v>
      </c>
      <c r="F30" s="4">
        <v>3795</v>
      </c>
      <c r="G30" s="4">
        <v>1560</v>
      </c>
      <c r="H30" s="4">
        <v>1017</v>
      </c>
      <c r="I30" s="4">
        <v>11</v>
      </c>
      <c r="J30" s="4">
        <v>25670</v>
      </c>
      <c r="K30" s="11">
        <v>8452</v>
      </c>
    </row>
    <row r="31" spans="1:11" ht="12.75" customHeight="1">
      <c r="A31" s="7"/>
      <c r="B31" s="4"/>
      <c r="C31" s="4"/>
      <c r="D31" s="4"/>
      <c r="E31" s="4"/>
      <c r="F31" s="4"/>
      <c r="G31" s="4"/>
      <c r="H31" s="4"/>
      <c r="I31" s="4"/>
      <c r="J31" s="4"/>
      <c r="K31" s="11"/>
    </row>
    <row r="32" spans="1:11" ht="12.75" customHeight="1">
      <c r="A32" s="7" t="s">
        <v>61</v>
      </c>
      <c r="B32" s="4">
        <v>17466</v>
      </c>
      <c r="C32" s="4">
        <v>27675</v>
      </c>
      <c r="D32" s="4">
        <v>3213</v>
      </c>
      <c r="E32" s="4">
        <v>2517</v>
      </c>
      <c r="F32" s="4">
        <v>908</v>
      </c>
      <c r="G32" s="4">
        <v>4797</v>
      </c>
      <c r="H32" s="4">
        <v>19462</v>
      </c>
      <c r="I32" s="4">
        <v>2225</v>
      </c>
      <c r="J32" s="4">
        <v>19419</v>
      </c>
      <c r="K32" s="11">
        <v>12688</v>
      </c>
    </row>
    <row r="33" spans="1:11" ht="12.75" customHeight="1">
      <c r="A33" s="7"/>
      <c r="B33" s="4"/>
      <c r="C33" s="4"/>
      <c r="D33" s="4"/>
      <c r="E33" s="4"/>
      <c r="F33" s="4"/>
      <c r="G33" s="4"/>
      <c r="H33" s="4"/>
      <c r="I33" s="4"/>
      <c r="J33" s="4"/>
      <c r="K33" s="11"/>
    </row>
    <row r="34" spans="1:11" ht="12.75" customHeight="1">
      <c r="A34" s="7" t="s">
        <v>63</v>
      </c>
      <c r="B34" s="22">
        <f>B30-B32</f>
        <v>-12676</v>
      </c>
      <c r="C34" s="22">
        <f>C30-C32</f>
        <v>-27471</v>
      </c>
      <c r="D34" s="22">
        <f aca="true" t="shared" si="5" ref="D34:K34">D30-D32</f>
        <v>-3213</v>
      </c>
      <c r="E34" s="22">
        <f t="shared" si="5"/>
        <v>-2437</v>
      </c>
      <c r="F34" s="22">
        <f t="shared" si="5"/>
        <v>2887</v>
      </c>
      <c r="G34" s="22">
        <f t="shared" si="5"/>
        <v>-3237</v>
      </c>
      <c r="H34" s="22">
        <f t="shared" si="5"/>
        <v>-18445</v>
      </c>
      <c r="I34" s="22">
        <f t="shared" si="5"/>
        <v>-2214</v>
      </c>
      <c r="J34" s="22">
        <f t="shared" si="5"/>
        <v>6251</v>
      </c>
      <c r="K34" s="25">
        <f t="shared" si="5"/>
        <v>-4236</v>
      </c>
    </row>
    <row r="35" spans="1:11" ht="12.75" customHeight="1">
      <c r="A35" s="9"/>
      <c r="B35" s="3"/>
      <c r="C35" s="3"/>
      <c r="D35" s="3"/>
      <c r="E35" s="3"/>
      <c r="F35" s="3"/>
      <c r="G35" s="3"/>
      <c r="H35" s="3"/>
      <c r="I35" s="3"/>
      <c r="J35" s="3"/>
      <c r="K35" s="10"/>
    </row>
    <row r="36" spans="1:11" ht="12.75" customHeight="1">
      <c r="A36" s="7" t="s">
        <v>100</v>
      </c>
      <c r="B36" s="4">
        <f aca="true" t="shared" si="6" ref="B36:K36">SUM(B22+B24+B30-B26-B32)</f>
        <v>402641</v>
      </c>
      <c r="C36" s="4">
        <f t="shared" si="6"/>
        <v>249375</v>
      </c>
      <c r="D36" s="22">
        <f t="shared" si="6"/>
        <v>-18105</v>
      </c>
      <c r="E36" s="22">
        <f t="shared" si="6"/>
        <v>18335</v>
      </c>
      <c r="F36" s="22">
        <f t="shared" si="6"/>
        <v>1216</v>
      </c>
      <c r="G36" s="22">
        <f t="shared" si="6"/>
        <v>526</v>
      </c>
      <c r="H36" s="22">
        <f t="shared" si="6"/>
        <v>49461</v>
      </c>
      <c r="I36" s="22">
        <f t="shared" si="6"/>
        <v>849</v>
      </c>
      <c r="J36" s="22">
        <f t="shared" si="6"/>
        <v>16046</v>
      </c>
      <c r="K36" s="25">
        <f t="shared" si="6"/>
        <v>-12536</v>
      </c>
    </row>
    <row r="37" spans="1:11" ht="12.75" customHeight="1">
      <c r="A37" s="7"/>
      <c r="B37" s="4"/>
      <c r="C37" s="4"/>
      <c r="D37" s="22"/>
      <c r="E37" s="22"/>
      <c r="F37" s="22"/>
      <c r="G37" s="22"/>
      <c r="H37" s="22"/>
      <c r="I37" s="22"/>
      <c r="J37" s="22"/>
      <c r="K37" s="25"/>
    </row>
    <row r="38" spans="1:11" ht="13.5" thickBot="1">
      <c r="A38" s="65" t="s">
        <v>101</v>
      </c>
      <c r="B38" s="66">
        <v>406788</v>
      </c>
      <c r="C38" s="66">
        <v>247357</v>
      </c>
      <c r="D38" s="67">
        <v>-17896</v>
      </c>
      <c r="E38" s="67">
        <v>17190</v>
      </c>
      <c r="F38" s="67">
        <v>1341</v>
      </c>
      <c r="G38" s="67">
        <v>1022</v>
      </c>
      <c r="H38" s="67">
        <v>44583</v>
      </c>
      <c r="I38" s="67">
        <v>824</v>
      </c>
      <c r="J38" s="67">
        <v>14469</v>
      </c>
      <c r="K38" s="68">
        <v>-12767</v>
      </c>
    </row>
    <row r="39" spans="1:9" ht="14.25" customHeight="1">
      <c r="A39" s="80"/>
      <c r="B39" s="80"/>
      <c r="C39" s="80"/>
      <c r="D39" s="80"/>
      <c r="E39" s="80"/>
      <c r="F39" s="80"/>
      <c r="G39" s="80"/>
      <c r="H39" s="80"/>
      <c r="I39" s="41"/>
    </row>
    <row r="40" spans="1:6" ht="15.75" thickBot="1">
      <c r="A40" s="1"/>
      <c r="B40" s="1"/>
      <c r="C40" s="34"/>
      <c r="D40" s="26"/>
      <c r="E40" s="26"/>
      <c r="F40" s="26" t="s">
        <v>13</v>
      </c>
    </row>
    <row r="41" spans="1:6" ht="31.5">
      <c r="A41" s="6"/>
      <c r="B41" s="76" t="s">
        <v>10</v>
      </c>
      <c r="C41" s="46" t="s">
        <v>11</v>
      </c>
      <c r="D41" s="77" t="s">
        <v>12</v>
      </c>
      <c r="E41" s="46" t="s">
        <v>98</v>
      </c>
      <c r="F41" s="47" t="s">
        <v>99</v>
      </c>
    </row>
    <row r="42" spans="1:7" ht="12.75" customHeight="1">
      <c r="A42" s="7" t="s">
        <v>43</v>
      </c>
      <c r="B42" s="5">
        <f>SUM(B44+B47+B48+B50)</f>
        <v>6596859</v>
      </c>
      <c r="C42" s="5">
        <f>SUM(C44+C47+C48+C50)</f>
        <v>1849312</v>
      </c>
      <c r="D42" s="53">
        <f>SUM(D44+D47+D48+D50)</f>
        <v>916626</v>
      </c>
      <c r="E42" s="5">
        <f>SUM(E44+E47+E48+E50)</f>
        <v>154425</v>
      </c>
      <c r="F42" s="48">
        <f>SUM(F44+F47+F48+F50)</f>
        <v>112522</v>
      </c>
      <c r="G42" s="37"/>
    </row>
    <row r="43" spans="1:6" ht="12.75" customHeight="1">
      <c r="A43" s="9"/>
      <c r="B43" s="3"/>
      <c r="C43" s="3"/>
      <c r="D43" s="54"/>
      <c r="E43" s="3"/>
      <c r="F43" s="49"/>
    </row>
    <row r="44" spans="1:6" ht="12.75" customHeight="1">
      <c r="A44" s="7" t="s">
        <v>44</v>
      </c>
      <c r="B44" s="4">
        <f>SUM(B45:B46)</f>
        <v>6440166</v>
      </c>
      <c r="C44" s="4">
        <f>SUM(C45:C46)</f>
        <v>1849312</v>
      </c>
      <c r="D44" s="55">
        <f>SUM(D45:D46)</f>
        <v>916626</v>
      </c>
      <c r="E44" s="4">
        <f>SUM(E45:E46)</f>
        <v>153918</v>
      </c>
      <c r="F44" s="50">
        <f>SUM(F45:F46)</f>
        <v>112522</v>
      </c>
    </row>
    <row r="45" spans="1:6" ht="12.75" customHeight="1">
      <c r="A45" s="9" t="s">
        <v>45</v>
      </c>
      <c r="B45" s="3">
        <v>6033560</v>
      </c>
      <c r="C45" s="3">
        <v>1849312</v>
      </c>
      <c r="D45" s="54">
        <v>916626</v>
      </c>
      <c r="E45" s="3">
        <v>153918</v>
      </c>
      <c r="F45" s="49">
        <f>111111+1411</f>
        <v>112522</v>
      </c>
    </row>
    <row r="46" spans="1:6" ht="12.75" customHeight="1">
      <c r="A46" s="9" t="s">
        <v>46</v>
      </c>
      <c r="B46" s="3">
        <v>406606</v>
      </c>
      <c r="C46" s="3">
        <v>0</v>
      </c>
      <c r="D46" s="54">
        <v>0</v>
      </c>
      <c r="E46" s="3">
        <v>0</v>
      </c>
      <c r="F46" s="49">
        <v>0</v>
      </c>
    </row>
    <row r="47" spans="1:6" ht="12.75" customHeight="1">
      <c r="A47" s="9" t="s">
        <v>47</v>
      </c>
      <c r="B47" s="3">
        <v>0</v>
      </c>
      <c r="C47" s="3">
        <v>0</v>
      </c>
      <c r="D47" s="54">
        <v>0</v>
      </c>
      <c r="E47" s="3">
        <v>0</v>
      </c>
      <c r="F47" s="49">
        <v>0</v>
      </c>
    </row>
    <row r="48" spans="1:6" ht="12.75" customHeight="1">
      <c r="A48" s="9" t="s">
        <v>48</v>
      </c>
      <c r="B48" s="3">
        <v>0</v>
      </c>
      <c r="C48" s="3">
        <v>0</v>
      </c>
      <c r="D48" s="54">
        <v>0</v>
      </c>
      <c r="E48" s="3">
        <v>0</v>
      </c>
      <c r="F48" s="49">
        <v>0</v>
      </c>
    </row>
    <row r="49" spans="1:6" ht="12.75" customHeight="1">
      <c r="A49" s="9" t="s">
        <v>49</v>
      </c>
      <c r="B49" s="3">
        <v>0</v>
      </c>
      <c r="C49" s="3">
        <v>0</v>
      </c>
      <c r="D49" s="54">
        <v>0</v>
      </c>
      <c r="E49" s="3">
        <v>0</v>
      </c>
      <c r="F49" s="49">
        <v>0</v>
      </c>
    </row>
    <row r="50" spans="1:6" ht="12.75" customHeight="1">
      <c r="A50" s="9" t="s">
        <v>50</v>
      </c>
      <c r="B50" s="3">
        <v>156693</v>
      </c>
      <c r="C50" s="3">
        <v>0</v>
      </c>
      <c r="D50" s="54">
        <v>0</v>
      </c>
      <c r="E50" s="3">
        <v>507</v>
      </c>
      <c r="F50" s="49">
        <v>0</v>
      </c>
    </row>
    <row r="51" spans="1:6" ht="12.75" customHeight="1">
      <c r="A51" s="9"/>
      <c r="B51" s="3"/>
      <c r="C51" s="3"/>
      <c r="D51" s="54"/>
      <c r="E51" s="3"/>
      <c r="F51" s="49"/>
    </row>
    <row r="52" spans="1:6" ht="12.75" customHeight="1">
      <c r="A52" s="7" t="s">
        <v>51</v>
      </c>
      <c r="B52" s="4">
        <f>SUM(B54:B58)</f>
        <v>5874943</v>
      </c>
      <c r="C52" s="4">
        <f>SUM(C54:C58)</f>
        <v>1832865</v>
      </c>
      <c r="D52" s="55">
        <f>SUM(D54:D58)</f>
        <v>834399</v>
      </c>
      <c r="E52" s="4">
        <f>SUM(E54:E58)</f>
        <v>161653</v>
      </c>
      <c r="F52" s="25">
        <f>SUM(F54:F58)</f>
        <v>142911</v>
      </c>
    </row>
    <row r="53" spans="1:6" ht="12.75" customHeight="1">
      <c r="A53" s="9"/>
      <c r="B53" s="3"/>
      <c r="C53" s="3"/>
      <c r="D53" s="54"/>
      <c r="E53" s="3"/>
      <c r="F53" s="10"/>
    </row>
    <row r="54" spans="1:6" ht="12.75" customHeight="1">
      <c r="A54" s="9" t="s">
        <v>52</v>
      </c>
      <c r="B54" s="3">
        <v>4528630</v>
      </c>
      <c r="C54" s="3">
        <v>1479078</v>
      </c>
      <c r="D54" s="54">
        <v>612707</v>
      </c>
      <c r="E54" s="3">
        <v>113488</v>
      </c>
      <c r="F54" s="29">
        <v>71583</v>
      </c>
    </row>
    <row r="55" spans="1:6" ht="12.75" customHeight="1">
      <c r="A55" s="9" t="s">
        <v>53</v>
      </c>
      <c r="B55" s="3">
        <v>152620</v>
      </c>
      <c r="C55" s="3">
        <v>0</v>
      </c>
      <c r="D55" s="54">
        <v>8534</v>
      </c>
      <c r="E55" s="3">
        <v>1094</v>
      </c>
      <c r="F55" s="29">
        <v>2063</v>
      </c>
    </row>
    <row r="56" spans="1:6" ht="12.75" customHeight="1">
      <c r="A56" s="9" t="s">
        <v>54</v>
      </c>
      <c r="B56" s="3">
        <f>635951+42137</f>
        <v>678088</v>
      </c>
      <c r="C56" s="3">
        <v>196636</v>
      </c>
      <c r="D56" s="54">
        <v>114000</v>
      </c>
      <c r="E56" s="3">
        <f>29618+3218</f>
        <v>32836</v>
      </c>
      <c r="F56" s="29">
        <v>50634</v>
      </c>
    </row>
    <row r="57" spans="1:6" ht="12.75" customHeight="1">
      <c r="A57" s="9" t="s">
        <v>55</v>
      </c>
      <c r="B57" s="3">
        <v>29547</v>
      </c>
      <c r="C57" s="3">
        <v>7155</v>
      </c>
      <c r="D57" s="54">
        <v>4972</v>
      </c>
      <c r="E57" s="3">
        <v>446</v>
      </c>
      <c r="F57" s="10">
        <v>0</v>
      </c>
    </row>
    <row r="58" spans="1:6" ht="12.75" customHeight="1">
      <c r="A58" s="9" t="s">
        <v>56</v>
      </c>
      <c r="B58" s="3">
        <f>312713+173345</f>
        <v>486058</v>
      </c>
      <c r="C58" s="3">
        <f>67302+82694</f>
        <v>149996</v>
      </c>
      <c r="D58" s="54">
        <f>45665+39139+9382</f>
        <v>94186</v>
      </c>
      <c r="E58" s="3">
        <f>11947+1842</f>
        <v>13789</v>
      </c>
      <c r="F58" s="29">
        <v>18631</v>
      </c>
    </row>
    <row r="59" spans="1:6" ht="12.75" customHeight="1">
      <c r="A59" s="9"/>
      <c r="B59" s="3"/>
      <c r="C59" s="3"/>
      <c r="D59" s="54"/>
      <c r="E59" s="3"/>
      <c r="F59" s="10"/>
    </row>
    <row r="60" spans="1:6" ht="12.75" customHeight="1">
      <c r="A60" s="7" t="s">
        <v>57</v>
      </c>
      <c r="B60" s="4">
        <f>SUM(B42-B52)</f>
        <v>721916</v>
      </c>
      <c r="C60" s="22">
        <f>SUM(C42-C52)</f>
        <v>16447</v>
      </c>
      <c r="D60" s="55">
        <f>SUM(D42-D52)</f>
        <v>82227</v>
      </c>
      <c r="E60" s="22">
        <f>SUM(E42-E52)</f>
        <v>-7228</v>
      </c>
      <c r="F60" s="25">
        <f>SUM(F42-F52)</f>
        <v>-30389</v>
      </c>
    </row>
    <row r="61" spans="1:6" ht="12.75" customHeight="1">
      <c r="A61" s="14"/>
      <c r="B61" s="3"/>
      <c r="C61" s="3"/>
      <c r="D61" s="54"/>
      <c r="E61" s="3"/>
      <c r="F61" s="10"/>
    </row>
    <row r="62" spans="1:6" ht="12.75" customHeight="1">
      <c r="A62" s="19" t="s">
        <v>58</v>
      </c>
      <c r="B62" s="4">
        <v>161458</v>
      </c>
      <c r="C62" s="4">
        <v>626</v>
      </c>
      <c r="D62" s="55">
        <v>4189</v>
      </c>
      <c r="E62" s="4">
        <v>9591</v>
      </c>
      <c r="F62" s="11">
        <v>62</v>
      </c>
    </row>
    <row r="63" spans="1:6" ht="12.75" customHeight="1">
      <c r="A63" s="13"/>
      <c r="B63" s="3"/>
      <c r="C63" s="3"/>
      <c r="D63" s="54"/>
      <c r="E63" s="3"/>
      <c r="F63" s="10"/>
    </row>
    <row r="64" spans="1:6" ht="12.75" customHeight="1">
      <c r="A64" s="7" t="s">
        <v>59</v>
      </c>
      <c r="B64" s="4">
        <v>161913</v>
      </c>
      <c r="C64" s="4">
        <v>0</v>
      </c>
      <c r="D64" s="55">
        <v>9858</v>
      </c>
      <c r="E64" s="4">
        <v>0</v>
      </c>
      <c r="F64" s="11">
        <v>0</v>
      </c>
    </row>
    <row r="65" spans="1:7" ht="12.75" customHeight="1">
      <c r="A65" s="7"/>
      <c r="B65" s="3"/>
      <c r="C65" s="3"/>
      <c r="D65" s="54"/>
      <c r="E65" s="3"/>
      <c r="F65" s="10"/>
      <c r="G65" s="37"/>
    </row>
    <row r="66" spans="1:6" ht="12.75" customHeight="1">
      <c r="A66" s="7" t="s">
        <v>62</v>
      </c>
      <c r="B66" s="22">
        <f>SUM(B62-B64)</f>
        <v>-455</v>
      </c>
      <c r="C66" s="22">
        <f>SUM(C62-C64)</f>
        <v>626</v>
      </c>
      <c r="D66" s="30">
        <f>SUM(D62-D64)</f>
        <v>-5669</v>
      </c>
      <c r="E66" s="22">
        <f>SUM(E62-E64)</f>
        <v>9591</v>
      </c>
      <c r="F66" s="25">
        <f>SUM(F62-F64)</f>
        <v>62</v>
      </c>
    </row>
    <row r="67" spans="1:6" ht="12.75" customHeight="1">
      <c r="A67" s="9"/>
      <c r="B67" s="3"/>
      <c r="C67" s="3"/>
      <c r="D67" s="54"/>
      <c r="E67" s="3"/>
      <c r="F67" s="10"/>
    </row>
    <row r="68" spans="1:6" ht="12.75" customHeight="1">
      <c r="A68" s="7" t="s">
        <v>60</v>
      </c>
      <c r="B68" s="4">
        <v>119437</v>
      </c>
      <c r="C68" s="4">
        <v>10792</v>
      </c>
      <c r="D68" s="55">
        <v>7534</v>
      </c>
      <c r="E68" s="4">
        <v>54</v>
      </c>
      <c r="F68" s="11">
        <v>0</v>
      </c>
    </row>
    <row r="69" spans="1:6" ht="12.75" customHeight="1">
      <c r="A69" s="7"/>
      <c r="B69" s="3"/>
      <c r="C69" s="3"/>
      <c r="D69" s="54"/>
      <c r="E69" s="3"/>
      <c r="F69" s="10"/>
    </row>
    <row r="70" spans="1:6" ht="12.75" customHeight="1">
      <c r="A70" s="7" t="s">
        <v>61</v>
      </c>
      <c r="B70" s="24">
        <v>142968</v>
      </c>
      <c r="C70" s="24">
        <v>15036</v>
      </c>
      <c r="D70" s="58">
        <v>93638</v>
      </c>
      <c r="E70" s="24">
        <v>0</v>
      </c>
      <c r="F70" s="72">
        <v>0</v>
      </c>
    </row>
    <row r="71" spans="1:6" ht="12.75">
      <c r="A71" s="7"/>
      <c r="B71" s="39"/>
      <c r="C71" s="39"/>
      <c r="D71" s="59"/>
      <c r="E71" s="39"/>
      <c r="F71" s="73"/>
    </row>
    <row r="72" spans="1:6" ht="12.75">
      <c r="A72" s="7" t="s">
        <v>63</v>
      </c>
      <c r="B72" s="22">
        <f>SUM(B68-B70)</f>
        <v>-23531</v>
      </c>
      <c r="C72" s="22">
        <f>SUM(C68-C70)</f>
        <v>-4244</v>
      </c>
      <c r="D72" s="30">
        <f>SUM(D68-D70)</f>
        <v>-86104</v>
      </c>
      <c r="E72" s="22">
        <f>SUM(E68-E70)</f>
        <v>54</v>
      </c>
      <c r="F72" s="25">
        <f>SUM(F68-F70)</f>
        <v>0</v>
      </c>
    </row>
    <row r="73" spans="1:6" ht="12.75">
      <c r="A73" s="9"/>
      <c r="B73" s="39"/>
      <c r="C73" s="39"/>
      <c r="D73" s="59"/>
      <c r="E73" s="39"/>
      <c r="F73" s="73"/>
    </row>
    <row r="74" spans="1:6" ht="12.75">
      <c r="A74" s="7" t="s">
        <v>100</v>
      </c>
      <c r="B74" s="22">
        <f>B60+B62+B68-B64-B70</f>
        <v>697930</v>
      </c>
      <c r="C74" s="22">
        <f>C60+C62+C68-C64-C70</f>
        <v>12829</v>
      </c>
      <c r="D74" s="30">
        <f>D60+D62+D68-D64-D70</f>
        <v>-9546</v>
      </c>
      <c r="E74" s="22">
        <f>E60+E62+E68-E64-E70</f>
        <v>2417</v>
      </c>
      <c r="F74" s="25">
        <f>F60+F62+F68-F64-F70</f>
        <v>-30327</v>
      </c>
    </row>
    <row r="75" spans="1:6" ht="12.75">
      <c r="A75" s="7"/>
      <c r="B75" s="22"/>
      <c r="C75" s="22"/>
      <c r="D75" s="30"/>
      <c r="E75" s="22"/>
      <c r="F75" s="25"/>
    </row>
    <row r="76" spans="1:6" ht="13.5" thickBot="1">
      <c r="A76" s="65" t="s">
        <v>101</v>
      </c>
      <c r="B76" s="67">
        <v>537627</v>
      </c>
      <c r="C76" s="67">
        <v>11904</v>
      </c>
      <c r="D76" s="69">
        <v>-9546</v>
      </c>
      <c r="E76" s="67">
        <f>SUM(E74-798)</f>
        <v>1619</v>
      </c>
      <c r="F76" s="68">
        <v>-30327</v>
      </c>
    </row>
    <row r="77" ht="12.75">
      <c r="B77" s="37"/>
    </row>
  </sheetData>
  <sheetProtection/>
  <mergeCells count="2">
    <mergeCell ref="A1:H1"/>
    <mergeCell ref="A39:H39"/>
  </mergeCells>
  <printOptions/>
  <pageMargins left="0.75" right="0.75" top="0.47" bottom="1" header="0.27" footer="0.5"/>
  <pageSetup horizontalDpi="600" verticalDpi="600" orientation="landscape" paperSize="9" scale="99" r:id="rId1"/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42" sqref="A42:H42"/>
    </sheetView>
  </sheetViews>
  <sheetFormatPr defaultColWidth="9.140625" defaultRowHeight="12.75"/>
  <cols>
    <col min="1" max="1" width="32.8515625" style="33" customWidth="1"/>
    <col min="2" max="2" width="10.7109375" style="33" customWidth="1"/>
    <col min="3" max="3" width="9.8515625" style="33" customWidth="1"/>
    <col min="4" max="4" width="9.57421875" style="33" customWidth="1"/>
    <col min="5" max="5" width="9.140625" style="33" customWidth="1"/>
    <col min="6" max="6" width="9.421875" style="33" customWidth="1"/>
    <col min="7" max="8" width="9.28125" style="33" customWidth="1"/>
    <col min="9" max="9" width="9.140625" style="33" customWidth="1"/>
    <col min="10" max="10" width="12.28125" style="33" customWidth="1"/>
    <col min="11" max="11" width="10.7109375" style="33" customWidth="1"/>
    <col min="12" max="16384" width="9.140625" style="33" customWidth="1"/>
  </cols>
  <sheetData>
    <row r="1" spans="1:9" ht="14.25" customHeight="1">
      <c r="A1" s="80" t="s">
        <v>104</v>
      </c>
      <c r="B1" s="80"/>
      <c r="C1" s="80"/>
      <c r="D1" s="80"/>
      <c r="E1" s="80"/>
      <c r="F1" s="80"/>
      <c r="G1" s="80"/>
      <c r="H1" s="80"/>
      <c r="I1" s="41"/>
    </row>
    <row r="2" spans="1:9" ht="14.25" customHeight="1">
      <c r="A2" s="81"/>
      <c r="B2" s="81"/>
      <c r="C2" s="81"/>
      <c r="D2" s="81"/>
      <c r="E2" s="81"/>
      <c r="F2" s="81"/>
      <c r="G2" s="81"/>
      <c r="H2" s="81"/>
      <c r="I2" s="42"/>
    </row>
    <row r="3" spans="1:11" ht="16.5" customHeight="1" thickBot="1">
      <c r="A3" s="1"/>
      <c r="B3" s="1"/>
      <c r="C3" s="34"/>
      <c r="D3" s="34"/>
      <c r="E3" s="2"/>
      <c r="F3" s="35"/>
      <c r="G3" s="35"/>
      <c r="H3" s="35"/>
      <c r="I3" s="35"/>
      <c r="K3" s="36" t="s">
        <v>0</v>
      </c>
    </row>
    <row r="4" spans="1:11" ht="16.5" customHeight="1">
      <c r="A4" s="6"/>
      <c r="B4" s="74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93</v>
      </c>
      <c r="J4" s="46" t="s">
        <v>8</v>
      </c>
      <c r="K4" s="75" t="s">
        <v>9</v>
      </c>
    </row>
    <row r="5" spans="1:11" ht="12.75" customHeight="1">
      <c r="A5" s="7" t="s">
        <v>20</v>
      </c>
      <c r="B5" s="5">
        <f>SUM(B7+B12+B20)</f>
        <v>3270128</v>
      </c>
      <c r="C5" s="5">
        <f>SUM(C7+C12+C20)</f>
        <v>2476355</v>
      </c>
      <c r="D5" s="5">
        <f>SUM(D7+D12+D20)</f>
        <v>215988</v>
      </c>
      <c r="E5" s="5">
        <f>SUM(E7+E12+E20)</f>
        <v>157783</v>
      </c>
      <c r="F5" s="5">
        <f>SUM(F7+F12+F20)</f>
        <v>308519</v>
      </c>
      <c r="G5" s="5">
        <f>SUM(G7+G12+G19)</f>
        <v>509310</v>
      </c>
      <c r="H5" s="5">
        <f>SUM(H7+H12+H19)</f>
        <v>259871</v>
      </c>
      <c r="I5" s="5">
        <f>SUM(I7+I12)</f>
        <v>29924</v>
      </c>
      <c r="J5" s="5">
        <f>SUM(J7+J12)</f>
        <v>476133</v>
      </c>
      <c r="K5" s="8">
        <f>SUM(K7+K12)</f>
        <v>436410</v>
      </c>
    </row>
    <row r="6" spans="1:11" ht="12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10"/>
    </row>
    <row r="7" spans="1:11" ht="12.75" customHeight="1">
      <c r="A7" s="7" t="s">
        <v>14</v>
      </c>
      <c r="B7" s="4">
        <f>SUM(B8:B10)</f>
        <v>2539522</v>
      </c>
      <c r="C7" s="4">
        <f aca="true" t="shared" si="0" ref="C7:K7">SUM(C8:C10)</f>
        <v>116802</v>
      </c>
      <c r="D7" s="4">
        <f>SUM(D8:D10)</f>
        <v>67860</v>
      </c>
      <c r="E7" s="4">
        <f t="shared" si="0"/>
        <v>24372</v>
      </c>
      <c r="F7" s="4">
        <f t="shared" si="0"/>
        <v>70572</v>
      </c>
      <c r="G7" s="4">
        <f t="shared" si="0"/>
        <v>17440</v>
      </c>
      <c r="H7" s="4">
        <f t="shared" si="0"/>
        <v>3394</v>
      </c>
      <c r="I7" s="4">
        <f t="shared" si="0"/>
        <v>1706</v>
      </c>
      <c r="J7" s="4">
        <f t="shared" si="0"/>
        <v>114045</v>
      </c>
      <c r="K7" s="11">
        <f t="shared" si="0"/>
        <v>292843</v>
      </c>
    </row>
    <row r="8" spans="1:11" ht="12.75" customHeight="1">
      <c r="A8" s="9" t="s">
        <v>18</v>
      </c>
      <c r="B8" s="3">
        <f>6171+734744+561702</f>
        <v>1302617</v>
      </c>
      <c r="C8" s="3">
        <f>526+116276</f>
        <v>116802</v>
      </c>
      <c r="D8" s="3">
        <f>18+67842</f>
        <v>67860</v>
      </c>
      <c r="E8" s="3">
        <f>456+23916</f>
        <v>24372</v>
      </c>
      <c r="F8" s="3">
        <f>25+70547</f>
        <v>70572</v>
      </c>
      <c r="G8" s="3">
        <f>6080+11360</f>
        <v>17440</v>
      </c>
      <c r="H8" s="3">
        <v>3394</v>
      </c>
      <c r="I8" s="3">
        <v>1706</v>
      </c>
      <c r="J8" s="3">
        <v>113793</v>
      </c>
      <c r="K8" s="10">
        <f>196377+88+95864</f>
        <v>292329</v>
      </c>
    </row>
    <row r="9" spans="1:11" ht="12.75" customHeight="1">
      <c r="A9" s="9" t="s">
        <v>19</v>
      </c>
      <c r="B9" s="3">
        <v>641842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10">
        <v>0</v>
      </c>
    </row>
    <row r="10" spans="1:11" ht="12.75" customHeight="1">
      <c r="A10" s="9" t="s">
        <v>36</v>
      </c>
      <c r="B10" s="43">
        <f>594342+721</f>
        <v>595063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252</v>
      </c>
      <c r="K10" s="10">
        <v>514</v>
      </c>
    </row>
    <row r="11" spans="1:11" ht="12.75" customHeight="1">
      <c r="A11" s="9"/>
      <c r="B11" s="3"/>
      <c r="C11" s="3"/>
      <c r="D11" s="3"/>
      <c r="E11" s="3"/>
      <c r="F11" s="3"/>
      <c r="G11" s="3"/>
      <c r="H11" s="3"/>
      <c r="I11" s="3"/>
      <c r="J11" s="3"/>
      <c r="K11" s="10"/>
    </row>
    <row r="12" spans="1:11" ht="12.75" customHeight="1">
      <c r="A12" s="7" t="s">
        <v>15</v>
      </c>
      <c r="B12" s="4">
        <f aca="true" t="shared" si="1" ref="B12:K12">SUM(B13:B18)</f>
        <v>730606</v>
      </c>
      <c r="C12" s="4">
        <f t="shared" si="1"/>
        <v>2359553</v>
      </c>
      <c r="D12" s="4">
        <f t="shared" si="1"/>
        <v>148128</v>
      </c>
      <c r="E12" s="4">
        <f t="shared" si="1"/>
        <v>133411</v>
      </c>
      <c r="F12" s="4">
        <f t="shared" si="1"/>
        <v>237947</v>
      </c>
      <c r="G12" s="4">
        <f t="shared" si="1"/>
        <v>491465</v>
      </c>
      <c r="H12" s="4">
        <f t="shared" si="1"/>
        <v>256465</v>
      </c>
      <c r="I12" s="4">
        <f t="shared" si="1"/>
        <v>28218</v>
      </c>
      <c r="J12" s="4">
        <f t="shared" si="1"/>
        <v>362088</v>
      </c>
      <c r="K12" s="11">
        <f t="shared" si="1"/>
        <v>143567</v>
      </c>
    </row>
    <row r="13" spans="1:11" ht="12.75" customHeight="1">
      <c r="A13" s="9" t="s">
        <v>40</v>
      </c>
      <c r="B13" s="3">
        <v>4419</v>
      </c>
      <c r="C13" s="3">
        <v>708176</v>
      </c>
      <c r="D13" s="3">
        <v>94249</v>
      </c>
      <c r="E13" s="3">
        <v>35843</v>
      </c>
      <c r="F13" s="3">
        <v>91517</v>
      </c>
      <c r="G13" s="3">
        <v>229989</v>
      </c>
      <c r="H13" s="3">
        <v>104561</v>
      </c>
      <c r="I13" s="3">
        <v>9413</v>
      </c>
      <c r="J13" s="3">
        <v>55237</v>
      </c>
      <c r="K13" s="10">
        <v>86683</v>
      </c>
    </row>
    <row r="14" spans="1:11" ht="12.75" customHeight="1">
      <c r="A14" s="9" t="s">
        <v>37</v>
      </c>
      <c r="B14" s="3">
        <v>450502</v>
      </c>
      <c r="C14" s="3">
        <v>1078346</v>
      </c>
      <c r="D14" s="3">
        <v>42044</v>
      </c>
      <c r="E14" s="3">
        <v>95383</v>
      </c>
      <c r="F14" s="3">
        <v>100816</v>
      </c>
      <c r="G14" s="3">
        <v>4078</v>
      </c>
      <c r="H14" s="3">
        <v>142519</v>
      </c>
      <c r="I14" s="3">
        <v>17399</v>
      </c>
      <c r="J14" s="3">
        <v>239420</v>
      </c>
      <c r="K14" s="10">
        <v>31668</v>
      </c>
    </row>
    <row r="15" spans="1:11" ht="12.75" customHeight="1">
      <c r="A15" s="9" t="s">
        <v>39</v>
      </c>
      <c r="B15" s="3">
        <v>258756</v>
      </c>
      <c r="C15" s="3">
        <v>0</v>
      </c>
      <c r="D15" s="3">
        <v>0</v>
      </c>
      <c r="E15" s="3">
        <v>0</v>
      </c>
      <c r="F15" s="3">
        <v>0</v>
      </c>
      <c r="G15" s="3">
        <v>222081</v>
      </c>
      <c r="H15" s="3">
        <v>0</v>
      </c>
      <c r="I15" s="3">
        <v>0</v>
      </c>
      <c r="J15" s="3">
        <v>55000</v>
      </c>
      <c r="K15" s="10">
        <v>1163</v>
      </c>
    </row>
    <row r="16" spans="1:11" ht="12.75" customHeight="1">
      <c r="A16" s="9" t="s">
        <v>38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0">
        <v>0</v>
      </c>
    </row>
    <row r="17" spans="1:11" ht="12.75" customHeight="1">
      <c r="A17" s="9" t="s">
        <v>41</v>
      </c>
      <c r="B17" s="3">
        <f>7940+4626</f>
        <v>12566</v>
      </c>
      <c r="C17" s="3">
        <f>19022+7659</f>
        <v>26681</v>
      </c>
      <c r="D17" s="3">
        <f>1729+4270</f>
        <v>5999</v>
      </c>
      <c r="E17" s="3">
        <f>855+125</f>
        <v>980</v>
      </c>
      <c r="F17" s="3">
        <f>6128+1</f>
        <v>6129</v>
      </c>
      <c r="G17" s="3">
        <f>2897+2982</f>
        <v>5879</v>
      </c>
      <c r="H17" s="3">
        <f>3956</f>
        <v>3956</v>
      </c>
      <c r="I17" s="3">
        <f>97+31</f>
        <v>128</v>
      </c>
      <c r="J17" s="3">
        <v>902</v>
      </c>
      <c r="K17" s="10">
        <f>2317+6890</f>
        <v>9207</v>
      </c>
    </row>
    <row r="18" spans="1:11" ht="12.75" customHeight="1">
      <c r="A18" s="12" t="s">
        <v>42</v>
      </c>
      <c r="B18" s="3">
        <v>4363</v>
      </c>
      <c r="C18" s="3">
        <v>546350</v>
      </c>
      <c r="D18" s="3">
        <v>5836</v>
      </c>
      <c r="E18" s="3">
        <v>1205</v>
      </c>
      <c r="F18" s="3">
        <v>39485</v>
      </c>
      <c r="G18" s="3">
        <v>29438</v>
      </c>
      <c r="H18" s="3">
        <v>5429</v>
      </c>
      <c r="I18" s="3">
        <v>1278</v>
      </c>
      <c r="J18" s="3">
        <v>11529</v>
      </c>
      <c r="K18" s="10">
        <v>14846</v>
      </c>
    </row>
    <row r="19" spans="1:11" ht="12.75" customHeight="1">
      <c r="A19" s="70" t="s">
        <v>102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405</v>
      </c>
      <c r="H19" s="4">
        <v>12</v>
      </c>
      <c r="I19" s="4">
        <v>0</v>
      </c>
      <c r="J19" s="4">
        <v>0</v>
      </c>
      <c r="K19" s="11">
        <v>0</v>
      </c>
    </row>
    <row r="20" spans="1:11" ht="12.75" customHeight="1">
      <c r="A20" s="7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1">
        <v>0</v>
      </c>
    </row>
    <row r="21" spans="1:11" ht="12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10"/>
    </row>
    <row r="22" spans="1:11" ht="12.75" customHeight="1">
      <c r="A22" s="7" t="s">
        <v>21</v>
      </c>
      <c r="B22" s="4">
        <f>SUM(B24+B31+B36+B41)</f>
        <v>3270128</v>
      </c>
      <c r="C22" s="4">
        <f aca="true" t="shared" si="2" ref="C22:K22">SUM(C24+C31+C36+C41)</f>
        <v>2476355</v>
      </c>
      <c r="D22" s="4">
        <f>SUM(D24+D31+D36+D41)</f>
        <v>215988</v>
      </c>
      <c r="E22" s="4">
        <f t="shared" si="2"/>
        <v>157783</v>
      </c>
      <c r="F22" s="4">
        <f t="shared" si="2"/>
        <v>308519</v>
      </c>
      <c r="G22" s="4">
        <f t="shared" si="2"/>
        <v>509310</v>
      </c>
      <c r="H22" s="4">
        <f>SUM(H24+H31+H36+H41)</f>
        <v>259871</v>
      </c>
      <c r="I22" s="4">
        <f>SUM(I24+I31+I36+I41)</f>
        <v>29924</v>
      </c>
      <c r="J22" s="4">
        <f t="shared" si="2"/>
        <v>476133</v>
      </c>
      <c r="K22" s="11">
        <f t="shared" si="2"/>
        <v>436410</v>
      </c>
    </row>
    <row r="23" spans="1:11" ht="12.75" customHeight="1">
      <c r="A23" s="9"/>
      <c r="B23" s="3"/>
      <c r="C23" s="3"/>
      <c r="D23" s="3"/>
      <c r="E23" s="3"/>
      <c r="F23" s="3"/>
      <c r="G23" s="3"/>
      <c r="H23" s="3"/>
      <c r="I23" s="3"/>
      <c r="J23" s="3"/>
      <c r="K23" s="10"/>
    </row>
    <row r="24" spans="1:11" ht="12.75" customHeight="1">
      <c r="A24" s="7" t="s">
        <v>16</v>
      </c>
      <c r="B24" s="4">
        <f aca="true" t="shared" si="3" ref="B24:K24">SUM(B25:B29)</f>
        <v>2715654</v>
      </c>
      <c r="C24" s="4">
        <f t="shared" si="3"/>
        <v>761967</v>
      </c>
      <c r="D24" s="4">
        <f t="shared" si="3"/>
        <v>24</v>
      </c>
      <c r="E24" s="4">
        <f t="shared" si="3"/>
        <v>35611</v>
      </c>
      <c r="F24" s="4">
        <f t="shared" si="3"/>
        <v>30643</v>
      </c>
      <c r="G24" s="4">
        <f t="shared" si="3"/>
        <v>49271</v>
      </c>
      <c r="H24" s="4">
        <f t="shared" si="3"/>
        <v>181949</v>
      </c>
      <c r="I24" s="4">
        <f t="shared" si="3"/>
        <v>4697</v>
      </c>
      <c r="J24" s="4">
        <f t="shared" si="3"/>
        <v>214572</v>
      </c>
      <c r="K24" s="11">
        <f t="shared" si="3"/>
        <v>201050</v>
      </c>
    </row>
    <row r="25" spans="1:11" ht="12.75" customHeight="1">
      <c r="A25" s="9" t="s">
        <v>22</v>
      </c>
      <c r="B25" s="3">
        <v>408000</v>
      </c>
      <c r="C25" s="3">
        <v>225194</v>
      </c>
      <c r="D25" s="3">
        <v>22895</v>
      </c>
      <c r="E25" s="3">
        <v>9380</v>
      </c>
      <c r="F25" s="3">
        <v>72684</v>
      </c>
      <c r="G25" s="3">
        <v>124071</v>
      </c>
      <c r="H25" s="3">
        <v>263</v>
      </c>
      <c r="I25" s="3">
        <v>289</v>
      </c>
      <c r="J25" s="3">
        <v>118694</v>
      </c>
      <c r="K25" s="10">
        <v>77182</v>
      </c>
    </row>
    <row r="26" spans="1:11" ht="12.75" customHeight="1">
      <c r="A26" s="9" t="s">
        <v>23</v>
      </c>
      <c r="B26" s="3">
        <f>33899+4256+1370</f>
        <v>39525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0">
        <v>0</v>
      </c>
    </row>
    <row r="27" spans="1:11" ht="12.75" customHeight="1">
      <c r="A27" s="9" t="s">
        <v>24</v>
      </c>
      <c r="B27" s="3">
        <v>2177918</v>
      </c>
      <c r="C27" s="3">
        <v>536773</v>
      </c>
      <c r="D27" s="3">
        <v>0</v>
      </c>
      <c r="E27" s="3">
        <v>26231</v>
      </c>
      <c r="F27" s="3">
        <v>1618</v>
      </c>
      <c r="G27" s="3">
        <v>1022</v>
      </c>
      <c r="H27" s="3">
        <v>181282</v>
      </c>
      <c r="I27" s="3">
        <v>4400</v>
      </c>
      <c r="J27" s="3">
        <v>95878</v>
      </c>
      <c r="K27" s="10">
        <v>136635</v>
      </c>
    </row>
    <row r="28" spans="1:11" ht="12.75" customHeight="1">
      <c r="A28" s="9" t="s">
        <v>32</v>
      </c>
      <c r="B28" s="3">
        <v>90211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404</v>
      </c>
      <c r="I28" s="3">
        <v>8</v>
      </c>
      <c r="J28" s="3">
        <v>0</v>
      </c>
      <c r="K28" s="10">
        <v>0</v>
      </c>
    </row>
    <row r="29" spans="1:11" ht="12.75" customHeight="1">
      <c r="A29" s="9" t="s">
        <v>25</v>
      </c>
      <c r="B29" s="3">
        <v>0</v>
      </c>
      <c r="C29" s="3">
        <v>0</v>
      </c>
      <c r="D29" s="20">
        <v>-22871</v>
      </c>
      <c r="E29" s="20">
        <v>0</v>
      </c>
      <c r="F29" s="20">
        <v>-43659</v>
      </c>
      <c r="G29" s="20">
        <v>-75822</v>
      </c>
      <c r="H29" s="3">
        <v>0</v>
      </c>
      <c r="I29" s="3">
        <v>0</v>
      </c>
      <c r="J29" s="3">
        <v>0</v>
      </c>
      <c r="K29" s="29">
        <v>-12767</v>
      </c>
    </row>
    <row r="30" spans="1:11" ht="12.75" customHeight="1">
      <c r="A30" s="9"/>
      <c r="B30" s="3"/>
      <c r="C30" s="3"/>
      <c r="D30" s="3"/>
      <c r="E30" s="3"/>
      <c r="F30" s="3"/>
      <c r="G30" s="3"/>
      <c r="H30" s="3"/>
      <c r="I30" s="3"/>
      <c r="J30" s="3"/>
      <c r="K30" s="10"/>
    </row>
    <row r="31" spans="1:11" ht="12.75" customHeight="1">
      <c r="A31" s="7" t="s">
        <v>17</v>
      </c>
      <c r="B31" s="4">
        <f aca="true" t="shared" si="4" ref="B31:K31">SUM(B32:B34)</f>
        <v>149430</v>
      </c>
      <c r="C31" s="4">
        <f t="shared" si="4"/>
        <v>414465</v>
      </c>
      <c r="D31" s="4">
        <f t="shared" si="4"/>
        <v>66400</v>
      </c>
      <c r="E31" s="4">
        <f t="shared" si="4"/>
        <v>3437</v>
      </c>
      <c r="F31" s="4">
        <f t="shared" si="4"/>
        <v>81738</v>
      </c>
      <c r="G31" s="4">
        <f t="shared" si="4"/>
        <v>43766</v>
      </c>
      <c r="H31" s="4">
        <f t="shared" si="4"/>
        <v>13131</v>
      </c>
      <c r="I31" s="4">
        <f t="shared" si="4"/>
        <v>0</v>
      </c>
      <c r="J31" s="4">
        <f t="shared" si="4"/>
        <v>21363</v>
      </c>
      <c r="K31" s="11">
        <f t="shared" si="4"/>
        <v>64570</v>
      </c>
    </row>
    <row r="32" spans="1:11" ht="12.75" customHeight="1">
      <c r="A32" s="14" t="s">
        <v>26</v>
      </c>
      <c r="B32" s="3">
        <v>51548</v>
      </c>
      <c r="C32" s="3">
        <v>41388</v>
      </c>
      <c r="D32" s="3">
        <v>786</v>
      </c>
      <c r="E32" s="3">
        <v>3437</v>
      </c>
      <c r="F32" s="3">
        <v>11012</v>
      </c>
      <c r="G32" s="3">
        <v>9733</v>
      </c>
      <c r="H32" s="3">
        <v>1384</v>
      </c>
      <c r="I32" s="3">
        <v>0</v>
      </c>
      <c r="J32" s="3">
        <v>16251</v>
      </c>
      <c r="K32" s="10">
        <v>10433</v>
      </c>
    </row>
    <row r="33" spans="1:11" ht="12.75" customHeight="1">
      <c r="A33" s="15" t="s">
        <v>27</v>
      </c>
      <c r="B33" s="3">
        <v>97882</v>
      </c>
      <c r="C33" s="3">
        <v>0</v>
      </c>
      <c r="D33" s="3">
        <v>14992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5112</v>
      </c>
      <c r="K33" s="10">
        <v>0</v>
      </c>
    </row>
    <row r="34" spans="1:11" ht="12.75" customHeight="1">
      <c r="A34" s="14" t="s">
        <v>35</v>
      </c>
      <c r="B34" s="3">
        <v>0</v>
      </c>
      <c r="C34" s="3">
        <v>373077</v>
      </c>
      <c r="D34" s="3">
        <v>50622</v>
      </c>
      <c r="E34" s="3">
        <v>0</v>
      </c>
      <c r="F34" s="3">
        <v>70726</v>
      </c>
      <c r="G34" s="3">
        <v>34033</v>
      </c>
      <c r="H34" s="3">
        <v>11747</v>
      </c>
      <c r="I34" s="3">
        <v>0</v>
      </c>
      <c r="J34" s="3">
        <v>0</v>
      </c>
      <c r="K34" s="10">
        <v>54137</v>
      </c>
    </row>
    <row r="35" spans="1:11" ht="12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10"/>
    </row>
    <row r="36" spans="1:11" ht="12.75" customHeight="1">
      <c r="A36" s="7" t="s">
        <v>28</v>
      </c>
      <c r="B36" s="4">
        <f>SUM(B37:B39)</f>
        <v>377438</v>
      </c>
      <c r="C36" s="4">
        <f aca="true" t="shared" si="5" ref="C36:K36">SUM(C37:C39)</f>
        <v>1298886</v>
      </c>
      <c r="D36" s="4">
        <f>SUM(D37:D39)</f>
        <v>148657</v>
      </c>
      <c r="E36" s="4">
        <f t="shared" si="5"/>
        <v>118409</v>
      </c>
      <c r="F36" s="4">
        <f t="shared" si="5"/>
        <v>194900</v>
      </c>
      <c r="G36" s="4">
        <f t="shared" si="5"/>
        <v>416273</v>
      </c>
      <c r="H36" s="4">
        <f>SUM(H37:H39)</f>
        <v>64791</v>
      </c>
      <c r="I36" s="4">
        <f>SUM(I37:I39)</f>
        <v>25227</v>
      </c>
      <c r="J36" s="4">
        <f t="shared" si="5"/>
        <v>238523</v>
      </c>
      <c r="K36" s="11">
        <f t="shared" si="5"/>
        <v>165382</v>
      </c>
    </row>
    <row r="37" spans="1:11" ht="12.75" customHeight="1">
      <c r="A37" s="9" t="s">
        <v>33</v>
      </c>
      <c r="B37" s="3">
        <v>217181</v>
      </c>
      <c r="C37" s="3">
        <v>769310</v>
      </c>
      <c r="D37" s="3">
        <v>46645</v>
      </c>
      <c r="E37" s="3">
        <v>29500</v>
      </c>
      <c r="F37" s="3">
        <v>35583</v>
      </c>
      <c r="G37" s="3">
        <v>37017</v>
      </c>
      <c r="H37" s="3">
        <v>40099</v>
      </c>
      <c r="I37" s="3">
        <v>14000</v>
      </c>
      <c r="J37" s="3">
        <v>30000</v>
      </c>
      <c r="K37" s="10">
        <v>11179</v>
      </c>
    </row>
    <row r="38" spans="1:11" ht="12.75" customHeight="1">
      <c r="A38" s="9" t="s">
        <v>29</v>
      </c>
      <c r="B38" s="3">
        <v>38094</v>
      </c>
      <c r="C38" s="3">
        <v>470798</v>
      </c>
      <c r="D38" s="3">
        <v>99152</v>
      </c>
      <c r="E38" s="3">
        <v>82786</v>
      </c>
      <c r="F38" s="3">
        <v>152137</v>
      </c>
      <c r="G38" s="3">
        <v>331414</v>
      </c>
      <c r="H38" s="3">
        <v>21388</v>
      </c>
      <c r="I38" s="3">
        <v>7185</v>
      </c>
      <c r="J38" s="3">
        <v>197655</v>
      </c>
      <c r="K38" s="10">
        <f>142274+162</f>
        <v>142436</v>
      </c>
    </row>
    <row r="39" spans="1:11" ht="12.75" customHeight="1">
      <c r="A39" s="9" t="s">
        <v>30</v>
      </c>
      <c r="B39" s="3">
        <f>114385+7778</f>
        <v>122163</v>
      </c>
      <c r="C39" s="3">
        <f>49724+9054</f>
        <v>58778</v>
      </c>
      <c r="D39" s="3">
        <f>2849+11</f>
        <v>2860</v>
      </c>
      <c r="E39" s="3">
        <f>5097+1026</f>
        <v>6123</v>
      </c>
      <c r="F39" s="3">
        <f>4820+2360</f>
        <v>7180</v>
      </c>
      <c r="G39" s="3">
        <f>9979+37863</f>
        <v>47842</v>
      </c>
      <c r="H39" s="3">
        <f>2300+1004</f>
        <v>3304</v>
      </c>
      <c r="I39" s="3">
        <f>2931+1111</f>
        <v>4042</v>
      </c>
      <c r="J39" s="3">
        <f>7079+3789</f>
        <v>10868</v>
      </c>
      <c r="K39" s="10">
        <f>9091+2676</f>
        <v>11767</v>
      </c>
    </row>
    <row r="40" spans="1:11" ht="12.75" customHeight="1">
      <c r="A40" s="9"/>
      <c r="B40" s="3"/>
      <c r="C40" s="3"/>
      <c r="D40" s="3"/>
      <c r="E40" s="3"/>
      <c r="F40" s="3"/>
      <c r="G40" s="3"/>
      <c r="H40" s="3"/>
      <c r="I40" s="3"/>
      <c r="J40" s="3"/>
      <c r="K40" s="10"/>
    </row>
    <row r="41" spans="1:11" ht="12.75" customHeight="1" thickBot="1">
      <c r="A41" s="16" t="s">
        <v>31</v>
      </c>
      <c r="B41" s="17">
        <v>27606</v>
      </c>
      <c r="C41" s="17">
        <v>1037</v>
      </c>
      <c r="D41" s="17">
        <v>907</v>
      </c>
      <c r="E41" s="17">
        <v>326</v>
      </c>
      <c r="F41" s="17">
        <v>1238</v>
      </c>
      <c r="G41" s="17">
        <v>0</v>
      </c>
      <c r="H41" s="17">
        <v>0</v>
      </c>
      <c r="I41" s="17">
        <v>0</v>
      </c>
      <c r="J41" s="17">
        <v>1675</v>
      </c>
      <c r="K41" s="18">
        <v>5408</v>
      </c>
    </row>
    <row r="42" spans="1:9" ht="16.5" customHeight="1">
      <c r="A42" s="80"/>
      <c r="B42" s="80"/>
      <c r="C42" s="80"/>
      <c r="D42" s="80"/>
      <c r="E42" s="80"/>
      <c r="F42" s="80"/>
      <c r="G42" s="80"/>
      <c r="H42" s="80"/>
      <c r="I42" s="41"/>
    </row>
    <row r="43" spans="1:6" ht="15.75" thickBot="1">
      <c r="A43" s="1"/>
      <c r="B43" s="1"/>
      <c r="C43" s="34"/>
      <c r="D43" s="2"/>
      <c r="E43" s="2"/>
      <c r="F43" s="2" t="s">
        <v>13</v>
      </c>
    </row>
    <row r="44" spans="1:6" ht="31.5">
      <c r="A44" s="6"/>
      <c r="B44" s="76" t="s">
        <v>10</v>
      </c>
      <c r="C44" s="46" t="s">
        <v>11</v>
      </c>
      <c r="D44" s="77" t="s">
        <v>12</v>
      </c>
      <c r="E44" s="46" t="s">
        <v>98</v>
      </c>
      <c r="F44" s="47" t="s">
        <v>99</v>
      </c>
    </row>
    <row r="45" spans="1:6" ht="12.75" customHeight="1">
      <c r="A45" s="7" t="s">
        <v>20</v>
      </c>
      <c r="B45" s="5">
        <f>SUM(B47+B51+B58)</f>
        <v>2001746</v>
      </c>
      <c r="C45" s="5">
        <f>SUM(C47+C51+C58)</f>
        <v>828830</v>
      </c>
      <c r="D45" s="53">
        <f>SUM(D47+D51+D58)</f>
        <v>877144</v>
      </c>
      <c r="E45" s="5">
        <f>SUM(E47+E51+E58)</f>
        <v>137005</v>
      </c>
      <c r="F45" s="48">
        <f>SUM(F47+F51+F58)</f>
        <v>120334</v>
      </c>
    </row>
    <row r="46" spans="1:6" ht="12.75" customHeight="1">
      <c r="A46" s="9"/>
      <c r="B46" s="3"/>
      <c r="C46" s="3"/>
      <c r="D46" s="54"/>
      <c r="E46" s="3"/>
      <c r="F46" s="49"/>
    </row>
    <row r="47" spans="1:6" ht="12.75" customHeight="1">
      <c r="A47" s="7" t="s">
        <v>14</v>
      </c>
      <c r="B47" s="4">
        <f>SUM(B48:B49)</f>
        <v>189665</v>
      </c>
      <c r="C47" s="4">
        <f>SUM(C48:C49)</f>
        <v>36733</v>
      </c>
      <c r="D47" s="55">
        <f>SUM(D48:D49)</f>
        <v>8744</v>
      </c>
      <c r="E47" s="4">
        <f>SUM(E48:E49)</f>
        <v>6707</v>
      </c>
      <c r="F47" s="50">
        <f>SUM(F48:F49)</f>
        <v>0</v>
      </c>
    </row>
    <row r="48" spans="1:6" ht="12.75" customHeight="1">
      <c r="A48" s="9" t="s">
        <v>18</v>
      </c>
      <c r="B48" s="3">
        <f>189323+342</f>
        <v>189665</v>
      </c>
      <c r="C48" s="3">
        <v>36733</v>
      </c>
      <c r="D48" s="54">
        <v>8744</v>
      </c>
      <c r="E48" s="3">
        <f>5670+1038-1</f>
        <v>6707</v>
      </c>
      <c r="F48" s="49">
        <v>0</v>
      </c>
    </row>
    <row r="49" spans="1:6" ht="12.75" customHeight="1">
      <c r="A49" s="9" t="s">
        <v>19</v>
      </c>
      <c r="B49" s="3">
        <v>0</v>
      </c>
      <c r="C49" s="3">
        <v>0</v>
      </c>
      <c r="D49" s="54">
        <v>0</v>
      </c>
      <c r="E49" s="3">
        <v>0</v>
      </c>
      <c r="F49" s="49">
        <v>0</v>
      </c>
    </row>
    <row r="50" spans="1:6" ht="12.75" customHeight="1">
      <c r="A50" s="9"/>
      <c r="B50" s="3"/>
      <c r="C50" s="3"/>
      <c r="D50" s="54"/>
      <c r="E50" s="3"/>
      <c r="F50" s="49"/>
    </row>
    <row r="51" spans="1:6" ht="12.75" customHeight="1">
      <c r="A51" s="7" t="s">
        <v>15</v>
      </c>
      <c r="B51" s="4">
        <f>SUM(B52:B56)</f>
        <v>1812081</v>
      </c>
      <c r="C51" s="4">
        <f>SUM(C52:C56)</f>
        <v>792097</v>
      </c>
      <c r="D51" s="55">
        <f>SUM(D52:D56)</f>
        <v>868400</v>
      </c>
      <c r="E51" s="4">
        <f>SUM(E52:E56)</f>
        <v>130298</v>
      </c>
      <c r="F51" s="50">
        <f>SUM(F52:F56)</f>
        <v>114224</v>
      </c>
    </row>
    <row r="52" spans="1:6" ht="12.75" customHeight="1">
      <c r="A52" s="9" t="s">
        <v>40</v>
      </c>
      <c r="B52" s="3">
        <f>169103+24852</f>
        <v>193955</v>
      </c>
      <c r="C52" s="3">
        <v>279677</v>
      </c>
      <c r="D52" s="54">
        <v>172292</v>
      </c>
      <c r="E52" s="3">
        <f>38978+708</f>
        <v>39686</v>
      </c>
      <c r="F52" s="49">
        <v>100488</v>
      </c>
    </row>
    <row r="53" spans="1:6" ht="12.75" customHeight="1">
      <c r="A53" s="9" t="s">
        <v>37</v>
      </c>
      <c r="B53" s="3">
        <f>54567+1145435+57799</f>
        <v>1257801</v>
      </c>
      <c r="C53" s="3">
        <v>293522</v>
      </c>
      <c r="D53" s="54">
        <v>676046</v>
      </c>
      <c r="E53" s="3">
        <v>39410</v>
      </c>
      <c r="F53" s="49">
        <v>8646</v>
      </c>
    </row>
    <row r="54" spans="1:6" ht="12.75" customHeight="1">
      <c r="A54" s="9" t="s">
        <v>39</v>
      </c>
      <c r="B54" s="3">
        <v>0</v>
      </c>
      <c r="C54" s="3">
        <v>203503</v>
      </c>
      <c r="D54" s="54">
        <v>0</v>
      </c>
      <c r="E54" s="3">
        <v>0</v>
      </c>
      <c r="F54" s="49">
        <v>0</v>
      </c>
    </row>
    <row r="55" spans="1:6" ht="12.75" customHeight="1">
      <c r="A55" s="9" t="s">
        <v>41</v>
      </c>
      <c r="B55" s="3">
        <f>3103+90117</f>
        <v>93220</v>
      </c>
      <c r="C55" s="3">
        <f>4254+1456</f>
        <v>5710</v>
      </c>
      <c r="D55" s="54">
        <v>6743</v>
      </c>
      <c r="E55" s="3">
        <f>204</f>
        <v>204</v>
      </c>
      <c r="F55" s="49">
        <v>0</v>
      </c>
    </row>
    <row r="56" spans="1:6" ht="12.75" customHeight="1">
      <c r="A56" s="12" t="s">
        <v>42</v>
      </c>
      <c r="B56" s="3">
        <v>267105</v>
      </c>
      <c r="C56" s="3">
        <v>9685</v>
      </c>
      <c r="D56" s="54">
        <v>13319</v>
      </c>
      <c r="E56" s="3">
        <v>50998</v>
      </c>
      <c r="F56" s="49">
        <v>5090</v>
      </c>
    </row>
    <row r="57" spans="1:6" ht="12.75" customHeight="1">
      <c r="A57" s="70" t="s">
        <v>102</v>
      </c>
      <c r="B57" s="71">
        <v>0</v>
      </c>
      <c r="C57" s="71">
        <v>0</v>
      </c>
      <c r="D57" s="78">
        <v>0</v>
      </c>
      <c r="E57" s="71">
        <v>0</v>
      </c>
      <c r="F57" s="79">
        <v>0</v>
      </c>
    </row>
    <row r="58" spans="1:6" ht="12.75" customHeight="1">
      <c r="A58" s="7" t="s">
        <v>34</v>
      </c>
      <c r="B58" s="4">
        <v>0</v>
      </c>
      <c r="C58" s="4">
        <v>0</v>
      </c>
      <c r="D58" s="55">
        <v>0</v>
      </c>
      <c r="E58" s="4">
        <v>0</v>
      </c>
      <c r="F58" s="50">
        <v>6110</v>
      </c>
    </row>
    <row r="59" spans="1:6" ht="12.75" customHeight="1">
      <c r="A59" s="13"/>
      <c r="B59" s="3"/>
      <c r="C59" s="3"/>
      <c r="D59" s="54"/>
      <c r="E59" s="3"/>
      <c r="F59" s="49"/>
    </row>
    <row r="60" spans="1:6" ht="12.75" customHeight="1">
      <c r="A60" s="7" t="s">
        <v>21</v>
      </c>
      <c r="B60" s="4">
        <f>SUM(B62+B69+B73+B78)</f>
        <v>2001746</v>
      </c>
      <c r="C60" s="4">
        <f>SUM(C62+C69+C73+C78)</f>
        <v>828830</v>
      </c>
      <c r="D60" s="55">
        <f>SUM(D62+D69+D73+D78)</f>
        <v>877144</v>
      </c>
      <c r="E60" s="4">
        <f>SUM(E62+E69+E73+E78)</f>
        <v>137005</v>
      </c>
      <c r="F60" s="50">
        <f>SUM(F62+F69+F73+F78)</f>
        <v>120334</v>
      </c>
    </row>
    <row r="61" spans="1:6" ht="12.75" customHeight="1">
      <c r="A61" s="9"/>
      <c r="B61" s="3"/>
      <c r="C61" s="3"/>
      <c r="D61" s="54"/>
      <c r="E61" s="3"/>
      <c r="F61" s="49"/>
    </row>
    <row r="62" spans="1:6" ht="12.75" customHeight="1">
      <c r="A62" s="7" t="s">
        <v>16</v>
      </c>
      <c r="B62" s="4">
        <f>SUM(B63:B67)</f>
        <v>713110</v>
      </c>
      <c r="C62" s="4">
        <f>SUM(C63:C67)</f>
        <v>179230</v>
      </c>
      <c r="D62" s="55">
        <f>SUM(D63:D67)</f>
        <v>152270</v>
      </c>
      <c r="E62" s="4">
        <f>SUM(E63:E67)</f>
        <v>40220</v>
      </c>
      <c r="F62" s="50">
        <f>SUM(F63:F67)</f>
        <v>0</v>
      </c>
    </row>
    <row r="63" spans="1:6" ht="12.75" customHeight="1">
      <c r="A63" s="9" t="s">
        <v>22</v>
      </c>
      <c r="B63" s="3">
        <v>240</v>
      </c>
      <c r="C63" s="3">
        <v>17000</v>
      </c>
      <c r="D63" s="54">
        <v>181929</v>
      </c>
      <c r="E63" s="3">
        <v>38601</v>
      </c>
      <c r="F63" s="49">
        <v>115920</v>
      </c>
    </row>
    <row r="64" spans="1:6" ht="12.75" customHeight="1">
      <c r="A64" s="9" t="s">
        <v>23</v>
      </c>
      <c r="B64" s="3">
        <v>0</v>
      </c>
      <c r="C64" s="3">
        <v>0</v>
      </c>
      <c r="D64" s="54">
        <v>0</v>
      </c>
      <c r="E64" s="3">
        <v>0</v>
      </c>
      <c r="F64" s="49">
        <v>0</v>
      </c>
    </row>
    <row r="65" spans="1:6" ht="12.75" customHeight="1">
      <c r="A65" s="9" t="s">
        <v>24</v>
      </c>
      <c r="B65" s="3">
        <v>712870</v>
      </c>
      <c r="C65" s="3">
        <v>162230</v>
      </c>
      <c r="D65" s="56">
        <v>0</v>
      </c>
      <c r="E65" s="20">
        <v>1619</v>
      </c>
      <c r="F65" s="51">
        <v>0</v>
      </c>
    </row>
    <row r="66" spans="1:6" ht="12.75" customHeight="1">
      <c r="A66" s="9" t="s">
        <v>32</v>
      </c>
      <c r="B66" s="3">
        <v>0</v>
      </c>
      <c r="C66" s="3">
        <v>0</v>
      </c>
      <c r="D66" s="54">
        <v>0</v>
      </c>
      <c r="E66" s="3">
        <v>0</v>
      </c>
      <c r="F66" s="49">
        <v>0</v>
      </c>
    </row>
    <row r="67" spans="1:6" ht="12.75" customHeight="1">
      <c r="A67" s="9" t="s">
        <v>25</v>
      </c>
      <c r="B67" s="20">
        <v>0</v>
      </c>
      <c r="C67" s="3">
        <v>0</v>
      </c>
      <c r="D67" s="56">
        <v>-29659</v>
      </c>
      <c r="E67" s="20">
        <v>0</v>
      </c>
      <c r="F67" s="51">
        <v>-115920</v>
      </c>
    </row>
    <row r="68" spans="1:6" ht="12.75" customHeight="1">
      <c r="A68" s="9"/>
      <c r="B68" s="3"/>
      <c r="C68" s="3"/>
      <c r="D68" s="54"/>
      <c r="E68" s="3"/>
      <c r="F68" s="49"/>
    </row>
    <row r="69" spans="1:7" ht="12.75" customHeight="1">
      <c r="A69" s="7" t="s">
        <v>17</v>
      </c>
      <c r="B69" s="4">
        <f>SUM(B70:B71)</f>
        <v>0</v>
      </c>
      <c r="C69" s="4">
        <f>SUM(C70:C71)</f>
        <v>0</v>
      </c>
      <c r="D69" s="55">
        <f>SUM(D70:D71)</f>
        <v>0</v>
      </c>
      <c r="E69" s="4">
        <f>SUM(E70:E71)</f>
        <v>0</v>
      </c>
      <c r="F69" s="50">
        <f>SUM(F70:F71)</f>
        <v>0</v>
      </c>
      <c r="G69" s="37"/>
    </row>
    <row r="70" spans="1:6" ht="12.75" customHeight="1">
      <c r="A70" s="14" t="s">
        <v>26</v>
      </c>
      <c r="B70" s="3">
        <v>0</v>
      </c>
      <c r="C70" s="3">
        <v>0</v>
      </c>
      <c r="D70" s="54">
        <v>0</v>
      </c>
      <c r="E70" s="3">
        <v>0</v>
      </c>
      <c r="F70" s="49">
        <v>0</v>
      </c>
    </row>
    <row r="71" spans="1:6" ht="12.75" customHeight="1">
      <c r="A71" s="15" t="s">
        <v>27</v>
      </c>
      <c r="B71" s="3">
        <v>0</v>
      </c>
      <c r="C71" s="3">
        <v>0</v>
      </c>
      <c r="D71" s="54">
        <v>0</v>
      </c>
      <c r="E71" s="3">
        <v>0</v>
      </c>
      <c r="F71" s="49">
        <v>0</v>
      </c>
    </row>
    <row r="72" spans="1:6" ht="12.75" customHeight="1">
      <c r="A72" s="13"/>
      <c r="B72" s="3"/>
      <c r="C72" s="3"/>
      <c r="D72" s="54"/>
      <c r="E72" s="3"/>
      <c r="F72" s="49"/>
    </row>
    <row r="73" spans="1:6" ht="12.75" customHeight="1">
      <c r="A73" s="7" t="s">
        <v>28</v>
      </c>
      <c r="B73" s="4">
        <f>SUM(B74:B76)</f>
        <v>1288636</v>
      </c>
      <c r="C73" s="4">
        <f>SUM(C74:C76)</f>
        <v>649600</v>
      </c>
      <c r="D73" s="55">
        <f>SUM(D74:D76)</f>
        <v>724874</v>
      </c>
      <c r="E73" s="4">
        <f>SUM(E74:E76)</f>
        <v>96785</v>
      </c>
      <c r="F73" s="50">
        <f>SUM(F74:F76)</f>
        <v>120334</v>
      </c>
    </row>
    <row r="74" spans="1:6" ht="12.75" customHeight="1">
      <c r="A74" s="9" t="s">
        <v>97</v>
      </c>
      <c r="B74" s="3">
        <v>0</v>
      </c>
      <c r="C74" s="3">
        <v>0</v>
      </c>
      <c r="D74" s="54">
        <v>0</v>
      </c>
      <c r="E74" s="3">
        <v>0</v>
      </c>
      <c r="F74" s="49">
        <v>0</v>
      </c>
    </row>
    <row r="75" spans="1:6" ht="12.75" customHeight="1">
      <c r="A75" s="9" t="s">
        <v>29</v>
      </c>
      <c r="B75" s="3">
        <f>1009752+39028</f>
        <v>1048780</v>
      </c>
      <c r="C75" s="3">
        <v>630375</v>
      </c>
      <c r="D75" s="54">
        <v>714954</v>
      </c>
      <c r="E75" s="3">
        <f>95546+294</f>
        <v>95840</v>
      </c>
      <c r="F75" s="49">
        <v>120327</v>
      </c>
    </row>
    <row r="76" spans="1:6" ht="12.75" customHeight="1">
      <c r="A76" s="9" t="s">
        <v>30</v>
      </c>
      <c r="B76" s="3">
        <f>15512+42023+182321</f>
        <v>239856</v>
      </c>
      <c r="C76" s="3">
        <f>18242+983</f>
        <v>19225</v>
      </c>
      <c r="D76" s="54">
        <v>9920</v>
      </c>
      <c r="E76" s="3">
        <v>945</v>
      </c>
      <c r="F76" s="49">
        <v>7</v>
      </c>
    </row>
    <row r="77" spans="1:6" ht="12.75" customHeight="1">
      <c r="A77" s="9"/>
      <c r="B77" s="3"/>
      <c r="C77" s="3"/>
      <c r="D77" s="54"/>
      <c r="E77" s="3"/>
      <c r="F77" s="49"/>
    </row>
    <row r="78" spans="1:6" ht="12.75" customHeight="1" thickBot="1">
      <c r="A78" s="16" t="s">
        <v>31</v>
      </c>
      <c r="B78" s="17">
        <v>0</v>
      </c>
      <c r="C78" s="17">
        <v>0</v>
      </c>
      <c r="D78" s="57">
        <v>0</v>
      </c>
      <c r="E78" s="17">
        <v>0</v>
      </c>
      <c r="F78" s="52">
        <v>0</v>
      </c>
    </row>
  </sheetData>
  <sheetProtection/>
  <mergeCells count="3">
    <mergeCell ref="A1:H1"/>
    <mergeCell ref="A2:H2"/>
    <mergeCell ref="A42:H42"/>
  </mergeCells>
  <printOptions/>
  <pageMargins left="0.67" right="0.32" top="0.4" bottom="0.39" header="0.18" footer="0.22"/>
  <pageSetup horizontalDpi="600" verticalDpi="600" orientation="landscape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42">
      <selection activeCell="H76" sqref="H76"/>
    </sheetView>
  </sheetViews>
  <sheetFormatPr defaultColWidth="9.140625" defaultRowHeight="12.75"/>
  <cols>
    <col min="1" max="1" width="37.7109375" style="33" customWidth="1"/>
    <col min="2" max="2" width="11.421875" style="33" customWidth="1"/>
    <col min="3" max="3" width="9.7109375" style="33" customWidth="1"/>
    <col min="4" max="4" width="9.57421875" style="33" customWidth="1"/>
    <col min="5" max="5" width="9.28125" style="33" customWidth="1"/>
    <col min="6" max="6" width="9.57421875" style="33" customWidth="1"/>
    <col min="7" max="7" width="9.421875" style="33" customWidth="1"/>
    <col min="8" max="8" width="9.57421875" style="33" customWidth="1"/>
    <col min="9" max="9" width="8.421875" style="33" customWidth="1"/>
    <col min="10" max="10" width="12.28125" style="33" customWidth="1"/>
    <col min="11" max="11" width="10.7109375" style="33" customWidth="1"/>
    <col min="12" max="16384" width="9.140625" style="33" customWidth="1"/>
  </cols>
  <sheetData>
    <row r="1" spans="1:11" ht="14.25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6.5" customHeight="1" thickBot="1">
      <c r="A2" s="1"/>
      <c r="B2" s="1"/>
      <c r="C2" s="34"/>
      <c r="D2" s="2"/>
      <c r="E2" s="35"/>
      <c r="F2" s="35"/>
      <c r="G2" s="35"/>
      <c r="H2" s="35"/>
      <c r="I2" s="35"/>
      <c r="K2" s="38" t="s">
        <v>0</v>
      </c>
    </row>
    <row r="3" spans="1:11" ht="16.5" customHeight="1">
      <c r="A3" s="6"/>
      <c r="B3" s="74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93</v>
      </c>
      <c r="J3" s="46" t="s">
        <v>8</v>
      </c>
      <c r="K3" s="75" t="s">
        <v>9</v>
      </c>
    </row>
    <row r="4" spans="1:11" ht="12.75" customHeight="1">
      <c r="A4" s="7" t="s">
        <v>64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2.75" customHeight="1">
      <c r="A5" s="9" t="s">
        <v>65</v>
      </c>
      <c r="B5" s="3">
        <v>553103</v>
      </c>
      <c r="C5" s="3">
        <v>2462159</v>
      </c>
      <c r="D5" s="3">
        <v>202237</v>
      </c>
      <c r="E5" s="3">
        <v>354430</v>
      </c>
      <c r="F5" s="3">
        <v>386063</v>
      </c>
      <c r="G5" s="3">
        <v>873643</v>
      </c>
      <c r="H5" s="3">
        <v>328554</v>
      </c>
      <c r="I5" s="3">
        <v>49747</v>
      </c>
      <c r="J5" s="3">
        <v>795889</v>
      </c>
      <c r="K5" s="10">
        <v>694717</v>
      </c>
    </row>
    <row r="6" spans="1:11" ht="12.75" customHeight="1">
      <c r="A6" s="9" t="s">
        <v>66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5651</v>
      </c>
      <c r="K6" s="10">
        <v>103</v>
      </c>
    </row>
    <row r="7" spans="1:11" ht="12.75" customHeight="1">
      <c r="A7" s="9" t="s">
        <v>67</v>
      </c>
      <c r="B7" s="3">
        <v>5411</v>
      </c>
      <c r="C7" s="3">
        <v>79259</v>
      </c>
      <c r="D7" s="3">
        <v>11135</v>
      </c>
      <c r="E7" s="3">
        <v>159</v>
      </c>
      <c r="F7" s="3">
        <v>6947</v>
      </c>
      <c r="G7" s="3">
        <v>469</v>
      </c>
      <c r="H7" s="3">
        <v>211</v>
      </c>
      <c r="I7" s="3">
        <v>1879</v>
      </c>
      <c r="J7" s="3">
        <v>22898</v>
      </c>
      <c r="K7" s="10">
        <v>49225</v>
      </c>
    </row>
    <row r="8" spans="1:11" ht="12.75" customHeight="1">
      <c r="A8" s="9" t="s">
        <v>68</v>
      </c>
      <c r="B8" s="20">
        <v>-397105</v>
      </c>
      <c r="C8" s="20">
        <v>-1844302</v>
      </c>
      <c r="D8" s="20">
        <v>-160553</v>
      </c>
      <c r="E8" s="20">
        <v>-268520</v>
      </c>
      <c r="F8" s="20">
        <v>-282357</v>
      </c>
      <c r="G8" s="20">
        <v>-747723</v>
      </c>
      <c r="H8" s="20">
        <v>-258157</v>
      </c>
      <c r="I8" s="20">
        <v>-37216</v>
      </c>
      <c r="J8" s="20">
        <v>-702953</v>
      </c>
      <c r="K8" s="29">
        <v>-628056</v>
      </c>
    </row>
    <row r="9" spans="1:11" ht="12.75" customHeight="1">
      <c r="A9" s="9" t="s">
        <v>69</v>
      </c>
      <c r="B9" s="20">
        <v>-159239</v>
      </c>
      <c r="C9" s="20">
        <v>-415212</v>
      </c>
      <c r="D9" s="20">
        <v>-26356</v>
      </c>
      <c r="E9" s="20">
        <v>-45171</v>
      </c>
      <c r="F9" s="20">
        <v>-43587</v>
      </c>
      <c r="G9" s="20">
        <v>-88672</v>
      </c>
      <c r="H9" s="20">
        <v>-18958</v>
      </c>
      <c r="I9" s="20">
        <v>-11386</v>
      </c>
      <c r="J9" s="20">
        <v>-72665</v>
      </c>
      <c r="K9" s="29">
        <v>-77834</v>
      </c>
    </row>
    <row r="10" spans="1:11" ht="12.75" customHeight="1">
      <c r="A10" s="9" t="s">
        <v>70</v>
      </c>
      <c r="B10" s="20">
        <v>-12866</v>
      </c>
      <c r="C10" s="20">
        <v>-106123</v>
      </c>
      <c r="D10" s="20">
        <v>-10754</v>
      </c>
      <c r="E10" s="20">
        <v>-3320</v>
      </c>
      <c r="F10" s="20">
        <v>-15672</v>
      </c>
      <c r="G10" s="20">
        <v>-7340</v>
      </c>
      <c r="H10" s="20">
        <v>-7720</v>
      </c>
      <c r="I10" s="20">
        <v>-1479</v>
      </c>
      <c r="J10" s="20">
        <v>-2379</v>
      </c>
      <c r="K10" s="29">
        <v>-7017</v>
      </c>
    </row>
    <row r="11" spans="1:11" ht="12.75" customHeight="1">
      <c r="A11" s="9" t="s">
        <v>71</v>
      </c>
      <c r="B11" s="20">
        <v>-9787</v>
      </c>
      <c r="C11" s="20">
        <v>-11487</v>
      </c>
      <c r="D11" s="20">
        <v>0</v>
      </c>
      <c r="E11" s="20">
        <v>-3039</v>
      </c>
      <c r="F11" s="20">
        <v>0</v>
      </c>
      <c r="G11" s="20">
        <v>0</v>
      </c>
      <c r="H11" s="20">
        <v>-2354</v>
      </c>
      <c r="I11" s="20">
        <v>-82</v>
      </c>
      <c r="J11" s="20">
        <v>-1737</v>
      </c>
      <c r="K11" s="29">
        <v>0</v>
      </c>
    </row>
    <row r="12" spans="1:11" ht="12.75" customHeight="1">
      <c r="A12" s="9" t="s">
        <v>72</v>
      </c>
      <c r="B12" s="20">
        <v>-81045</v>
      </c>
      <c r="C12" s="20">
        <v>-6685</v>
      </c>
      <c r="D12" s="20">
        <v>-1472</v>
      </c>
      <c r="E12" s="20">
        <v>-9916</v>
      </c>
      <c r="F12" s="20">
        <v>-7844</v>
      </c>
      <c r="G12" s="20">
        <v>-15975</v>
      </c>
      <c r="H12" s="20">
        <v>-10934</v>
      </c>
      <c r="I12" s="20">
        <v>-3607</v>
      </c>
      <c r="J12" s="20">
        <v>-24527</v>
      </c>
      <c r="K12" s="29">
        <v>-16921</v>
      </c>
    </row>
    <row r="13" spans="1:11" ht="12.7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10"/>
    </row>
    <row r="14" spans="1:11" ht="12.75" customHeight="1">
      <c r="A14" s="7" t="s">
        <v>73</v>
      </c>
      <c r="B14" s="44">
        <f aca="true" t="shared" si="0" ref="B14:K14">SUM(B4:B13)</f>
        <v>-101528</v>
      </c>
      <c r="C14" s="44">
        <f t="shared" si="0"/>
        <v>157609</v>
      </c>
      <c r="D14" s="44">
        <f t="shared" si="0"/>
        <v>14237</v>
      </c>
      <c r="E14" s="44">
        <f t="shared" si="0"/>
        <v>24623</v>
      </c>
      <c r="F14" s="22">
        <f t="shared" si="0"/>
        <v>43550</v>
      </c>
      <c r="G14" s="22">
        <f t="shared" si="0"/>
        <v>14402</v>
      </c>
      <c r="H14" s="4">
        <f t="shared" si="0"/>
        <v>30642</v>
      </c>
      <c r="I14" s="44">
        <f t="shared" si="0"/>
        <v>-2144</v>
      </c>
      <c r="J14" s="4">
        <f t="shared" si="0"/>
        <v>20177</v>
      </c>
      <c r="K14" s="25">
        <f t="shared" si="0"/>
        <v>14217</v>
      </c>
    </row>
    <row r="15" spans="1:11" ht="12.7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10"/>
    </row>
    <row r="16" spans="1:11" ht="12.75" customHeight="1">
      <c r="A16" s="7" t="s">
        <v>74</v>
      </c>
      <c r="B16" s="3"/>
      <c r="C16" s="3"/>
      <c r="D16" s="3"/>
      <c r="E16" s="3"/>
      <c r="F16" s="3"/>
      <c r="G16" s="3"/>
      <c r="H16" s="3"/>
      <c r="I16" s="3"/>
      <c r="J16" s="3"/>
      <c r="K16" s="10"/>
    </row>
    <row r="17" spans="1:11" ht="12.75" customHeight="1">
      <c r="A17" s="9" t="s">
        <v>75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10">
        <v>0</v>
      </c>
    </row>
    <row r="18" spans="1:11" ht="12.75" customHeight="1">
      <c r="A18" s="9" t="s">
        <v>76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903</v>
      </c>
      <c r="K18" s="10">
        <v>238</v>
      </c>
    </row>
    <row r="19" spans="1:11" ht="12.75" customHeight="1">
      <c r="A19" s="9" t="s">
        <v>77</v>
      </c>
      <c r="B19" s="20">
        <v>157818</v>
      </c>
      <c r="C19" s="3">
        <v>432543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20">
        <v>5000</v>
      </c>
      <c r="K19" s="10">
        <v>0</v>
      </c>
    </row>
    <row r="20" spans="1:11" ht="12.75" customHeight="1">
      <c r="A20" s="9" t="s">
        <v>78</v>
      </c>
      <c r="B20" s="3">
        <v>111057</v>
      </c>
      <c r="C20" s="3">
        <v>32336</v>
      </c>
      <c r="D20" s="3">
        <v>18</v>
      </c>
      <c r="E20" s="3">
        <v>104</v>
      </c>
      <c r="F20" s="3">
        <v>1171</v>
      </c>
      <c r="G20" s="3">
        <v>204</v>
      </c>
      <c r="H20" s="3">
        <v>533</v>
      </c>
      <c r="I20" s="3">
        <v>0</v>
      </c>
      <c r="J20" s="3">
        <v>0</v>
      </c>
      <c r="K20" s="10">
        <v>0</v>
      </c>
    </row>
    <row r="21" spans="1:11" ht="12.75" customHeight="1">
      <c r="A21" s="9" t="s">
        <v>79</v>
      </c>
      <c r="B21" s="3">
        <v>254495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10">
        <v>0</v>
      </c>
    </row>
    <row r="22" spans="1:11" ht="12.75" customHeight="1">
      <c r="A22" s="9" t="s">
        <v>80</v>
      </c>
      <c r="B22" s="20">
        <v>-20146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0">
        <v>0</v>
      </c>
    </row>
    <row r="23" spans="1:11" ht="12.75" customHeight="1">
      <c r="A23" s="9" t="s">
        <v>81</v>
      </c>
      <c r="B23" s="20">
        <v>-82678</v>
      </c>
      <c r="C23" s="20">
        <v>-25935</v>
      </c>
      <c r="D23" s="20">
        <v>-4937</v>
      </c>
      <c r="E23" s="20">
        <v>-16307</v>
      </c>
      <c r="F23" s="20">
        <v>-8358</v>
      </c>
      <c r="G23" s="20">
        <v>-14632</v>
      </c>
      <c r="H23" s="20">
        <v>-625</v>
      </c>
      <c r="I23" s="20">
        <v>0</v>
      </c>
      <c r="J23" s="20">
        <v>-10962</v>
      </c>
      <c r="K23" s="29">
        <v>-18281</v>
      </c>
    </row>
    <row r="24" spans="1:11" ht="12.75" customHeight="1">
      <c r="A24" s="9" t="s">
        <v>96</v>
      </c>
      <c r="B24" s="20">
        <v>0</v>
      </c>
      <c r="C24" s="20">
        <v>0</v>
      </c>
      <c r="D24" s="3">
        <v>0</v>
      </c>
      <c r="E24" s="3">
        <v>0</v>
      </c>
      <c r="F24" s="3">
        <v>5275</v>
      </c>
      <c r="G24" s="3">
        <v>0</v>
      </c>
      <c r="H24" s="3">
        <v>0</v>
      </c>
      <c r="I24" s="3">
        <v>0</v>
      </c>
      <c r="J24" s="3">
        <v>0</v>
      </c>
      <c r="K24" s="29">
        <v>1377</v>
      </c>
    </row>
    <row r="25" spans="1:11" ht="12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10"/>
    </row>
    <row r="26" spans="1:11" ht="12.75" customHeight="1">
      <c r="A26" s="7" t="s">
        <v>83</v>
      </c>
      <c r="B26" s="44">
        <f aca="true" t="shared" si="1" ref="B26:I26">SUM(B16:B25)</f>
        <v>420546</v>
      </c>
      <c r="C26" s="30">
        <f t="shared" si="1"/>
        <v>438944</v>
      </c>
      <c r="D26" s="22">
        <f t="shared" si="1"/>
        <v>-4919</v>
      </c>
      <c r="E26" s="44">
        <f t="shared" si="1"/>
        <v>-16203</v>
      </c>
      <c r="F26" s="30">
        <f t="shared" si="1"/>
        <v>-1912</v>
      </c>
      <c r="G26" s="30">
        <f t="shared" si="1"/>
        <v>-14428</v>
      </c>
      <c r="H26" s="22">
        <f t="shared" si="1"/>
        <v>-92</v>
      </c>
      <c r="I26" s="22">
        <f t="shared" si="1"/>
        <v>0</v>
      </c>
      <c r="J26" s="30">
        <f>SUM(J17:J25)</f>
        <v>-5059</v>
      </c>
      <c r="K26" s="25">
        <f>SUM(K17:K24)</f>
        <v>-16666</v>
      </c>
    </row>
    <row r="27" spans="1:11" ht="12.7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10"/>
    </row>
    <row r="28" spans="1:11" ht="12.75" customHeight="1">
      <c r="A28" s="7" t="s">
        <v>84</v>
      </c>
      <c r="B28" s="3"/>
      <c r="C28" s="3"/>
      <c r="D28" s="3"/>
      <c r="E28" s="3"/>
      <c r="F28" s="3"/>
      <c r="G28" s="3"/>
      <c r="H28" s="3"/>
      <c r="I28" s="3"/>
      <c r="J28" s="3"/>
      <c r="K28" s="10"/>
    </row>
    <row r="29" spans="1:11" ht="12.75" customHeight="1">
      <c r="A29" s="9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10">
        <v>0</v>
      </c>
    </row>
    <row r="30" spans="1:11" ht="12.75" customHeight="1">
      <c r="A30" s="9" t="s">
        <v>85</v>
      </c>
      <c r="B30" s="20">
        <v>-211174</v>
      </c>
      <c r="C30" s="20">
        <v>-44366</v>
      </c>
      <c r="D30" s="20">
        <v>-18975</v>
      </c>
      <c r="E30" s="20">
        <v>-500</v>
      </c>
      <c r="F30" s="20">
        <v>-35437</v>
      </c>
      <c r="G30" s="20">
        <v>5049</v>
      </c>
      <c r="H30" s="20">
        <v>-1378</v>
      </c>
      <c r="I30" s="20">
        <v>1672</v>
      </c>
      <c r="J30" s="20">
        <v>-859</v>
      </c>
      <c r="K30" s="29">
        <v>1446</v>
      </c>
    </row>
    <row r="31" spans="1:11" ht="12.75" customHeight="1">
      <c r="A31" s="9" t="s">
        <v>86</v>
      </c>
      <c r="B31" s="20">
        <v>-113711</v>
      </c>
      <c r="C31" s="20">
        <v>-187299</v>
      </c>
      <c r="D31" s="20">
        <v>0</v>
      </c>
      <c r="E31" s="20">
        <v>-8111</v>
      </c>
      <c r="F31" s="3">
        <v>0</v>
      </c>
      <c r="G31" s="20">
        <v>0</v>
      </c>
      <c r="H31" s="20">
        <v>-31323</v>
      </c>
      <c r="I31" s="20">
        <v>0</v>
      </c>
      <c r="J31" s="20">
        <v>-10368</v>
      </c>
      <c r="K31" s="10">
        <v>0</v>
      </c>
    </row>
    <row r="32" spans="1:11" ht="12.75" customHeight="1">
      <c r="A32" s="9" t="s">
        <v>87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20">
        <v>0</v>
      </c>
      <c r="H32" s="20">
        <v>0</v>
      </c>
      <c r="I32" s="20">
        <v>0</v>
      </c>
      <c r="J32" s="20">
        <v>-290</v>
      </c>
      <c r="K32" s="10">
        <v>0</v>
      </c>
    </row>
    <row r="33" spans="1:11" ht="12.7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10"/>
    </row>
    <row r="34" spans="1:11" ht="12.75" customHeight="1">
      <c r="A34" s="7" t="s">
        <v>88</v>
      </c>
      <c r="B34" s="22">
        <f>SUM(B29:B32)</f>
        <v>-324885</v>
      </c>
      <c r="C34" s="22">
        <f aca="true" t="shared" si="2" ref="C34:K34">SUM(C29:C32)</f>
        <v>-231665</v>
      </c>
      <c r="D34" s="22">
        <f t="shared" si="2"/>
        <v>-18975</v>
      </c>
      <c r="E34" s="22">
        <f t="shared" si="2"/>
        <v>-8611</v>
      </c>
      <c r="F34" s="22">
        <f t="shared" si="2"/>
        <v>-35437</v>
      </c>
      <c r="G34" s="22">
        <f t="shared" si="2"/>
        <v>5049</v>
      </c>
      <c r="H34" s="22">
        <f t="shared" si="2"/>
        <v>-32701</v>
      </c>
      <c r="I34" s="22">
        <f t="shared" si="2"/>
        <v>1672</v>
      </c>
      <c r="J34" s="22">
        <f t="shared" si="2"/>
        <v>-11517</v>
      </c>
      <c r="K34" s="25">
        <f t="shared" si="2"/>
        <v>1446</v>
      </c>
    </row>
    <row r="35" spans="1:11" ht="12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10"/>
    </row>
    <row r="36" spans="1:11" ht="12.75" customHeight="1">
      <c r="A36" s="7" t="s">
        <v>89</v>
      </c>
      <c r="B36" s="22">
        <f aca="true" t="shared" si="3" ref="B36:J36">SUM(B14+(B26+B34))</f>
        <v>-5867</v>
      </c>
      <c r="C36" s="22">
        <f t="shared" si="3"/>
        <v>364888</v>
      </c>
      <c r="D36" s="22">
        <f>(D14+(D26+D34))</f>
        <v>-9657</v>
      </c>
      <c r="E36" s="22">
        <f t="shared" si="3"/>
        <v>-191</v>
      </c>
      <c r="F36" s="22">
        <f t="shared" si="3"/>
        <v>6201</v>
      </c>
      <c r="G36" s="22">
        <f t="shared" si="3"/>
        <v>5023</v>
      </c>
      <c r="H36" s="22">
        <f t="shared" si="3"/>
        <v>-2151</v>
      </c>
      <c r="I36" s="22">
        <f t="shared" si="3"/>
        <v>-472</v>
      </c>
      <c r="J36" s="22">
        <f t="shared" si="3"/>
        <v>3601</v>
      </c>
      <c r="K36" s="25">
        <v>-1003</v>
      </c>
    </row>
    <row r="37" spans="1:11" ht="12.75" customHeight="1">
      <c r="A37" s="7"/>
      <c r="B37" s="3"/>
      <c r="C37" s="3"/>
      <c r="D37" s="3"/>
      <c r="E37" s="3"/>
      <c r="F37" s="31"/>
      <c r="G37" s="3"/>
      <c r="H37" s="3"/>
      <c r="I37" s="3"/>
      <c r="J37" s="3"/>
      <c r="K37" s="10"/>
    </row>
    <row r="38" spans="1:11" ht="12.75" customHeight="1">
      <c r="A38" s="7" t="s">
        <v>90</v>
      </c>
      <c r="B38" s="4">
        <v>10230</v>
      </c>
      <c r="C38" s="4">
        <v>181462</v>
      </c>
      <c r="D38" s="4">
        <v>15493</v>
      </c>
      <c r="E38" s="4">
        <v>1396</v>
      </c>
      <c r="F38" s="4">
        <v>33651</v>
      </c>
      <c r="G38" s="4">
        <v>24416</v>
      </c>
      <c r="H38" s="4">
        <v>7580</v>
      </c>
      <c r="I38" s="4">
        <v>1750</v>
      </c>
      <c r="J38" s="4">
        <v>7928</v>
      </c>
      <c r="K38" s="11">
        <v>15849</v>
      </c>
    </row>
    <row r="39" spans="1:11" ht="12.75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11"/>
    </row>
    <row r="40" spans="1:11" ht="12.75" customHeight="1">
      <c r="A40" s="7" t="s">
        <v>92</v>
      </c>
      <c r="B40" s="4">
        <v>0</v>
      </c>
      <c r="C40" s="4">
        <v>0</v>
      </c>
      <c r="D40" s="4">
        <v>0</v>
      </c>
      <c r="E40" s="4">
        <v>0</v>
      </c>
      <c r="F40" s="44">
        <v>-367</v>
      </c>
      <c r="G40" s="4">
        <v>0</v>
      </c>
      <c r="H40" s="4">
        <v>0</v>
      </c>
      <c r="I40" s="4">
        <v>0</v>
      </c>
      <c r="J40" s="4">
        <v>0</v>
      </c>
      <c r="K40" s="11">
        <v>0</v>
      </c>
    </row>
    <row r="41" spans="1:11" ht="12.75" customHeight="1">
      <c r="A41" s="7"/>
      <c r="B41" s="4"/>
      <c r="C41" s="4"/>
      <c r="D41" s="4"/>
      <c r="E41" s="40"/>
      <c r="F41" s="40"/>
      <c r="G41" s="4"/>
      <c r="H41" s="4"/>
      <c r="I41" s="4"/>
      <c r="J41" s="4"/>
      <c r="K41" s="11"/>
    </row>
    <row r="42" spans="1:11" ht="12.75" customHeight="1" thickBot="1">
      <c r="A42" s="16" t="s">
        <v>91</v>
      </c>
      <c r="B42" s="17">
        <f>SUM(B36+B38+B40)</f>
        <v>4363</v>
      </c>
      <c r="C42" s="17">
        <f>SUM(C36+C38+C40)</f>
        <v>546350</v>
      </c>
      <c r="D42" s="17">
        <f aca="true" t="shared" si="4" ref="D42:K42">SUM(D36+D38+D40)</f>
        <v>5836</v>
      </c>
      <c r="E42" s="17">
        <f t="shared" si="4"/>
        <v>1205</v>
      </c>
      <c r="F42" s="17">
        <f t="shared" si="4"/>
        <v>39485</v>
      </c>
      <c r="G42" s="17">
        <f t="shared" si="4"/>
        <v>29439</v>
      </c>
      <c r="H42" s="17">
        <f t="shared" si="4"/>
        <v>5429</v>
      </c>
      <c r="I42" s="17">
        <f t="shared" si="4"/>
        <v>1278</v>
      </c>
      <c r="J42" s="17">
        <f t="shared" si="4"/>
        <v>11529</v>
      </c>
      <c r="K42" s="18">
        <f t="shared" si="4"/>
        <v>14846</v>
      </c>
    </row>
    <row r="43" spans="1:9" ht="16.5" customHeight="1">
      <c r="A43" s="80"/>
      <c r="B43" s="80"/>
      <c r="C43" s="80"/>
      <c r="D43" s="80"/>
      <c r="E43" s="80"/>
      <c r="F43" s="80"/>
      <c r="G43" s="80"/>
      <c r="H43" s="80"/>
      <c r="I43" s="41"/>
    </row>
    <row r="44" spans="1:6" ht="12.75" customHeight="1" thickBot="1">
      <c r="A44" s="1"/>
      <c r="B44" s="1"/>
      <c r="C44" s="34"/>
      <c r="D44" s="32"/>
      <c r="E44" s="32"/>
      <c r="F44" s="32" t="s">
        <v>13</v>
      </c>
    </row>
    <row r="45" spans="1:6" ht="31.5">
      <c r="A45" s="6"/>
      <c r="B45" s="76" t="s">
        <v>10</v>
      </c>
      <c r="C45" s="46" t="s">
        <v>11</v>
      </c>
      <c r="D45" s="77" t="s">
        <v>12</v>
      </c>
      <c r="E45" s="46" t="s">
        <v>98</v>
      </c>
      <c r="F45" s="47" t="s">
        <v>99</v>
      </c>
    </row>
    <row r="46" spans="1:6" ht="12.75" customHeight="1">
      <c r="A46" s="7" t="s">
        <v>64</v>
      </c>
      <c r="B46" s="27"/>
      <c r="C46" s="27"/>
      <c r="D46" s="63"/>
      <c r="E46" s="27"/>
      <c r="F46" s="62"/>
    </row>
    <row r="47" spans="1:6" ht="12.75" customHeight="1">
      <c r="A47" s="9" t="s">
        <v>65</v>
      </c>
      <c r="B47" s="20">
        <v>7818439</v>
      </c>
      <c r="C47" s="20">
        <v>2211817</v>
      </c>
      <c r="D47" s="56">
        <v>1067549</v>
      </c>
      <c r="E47" s="20">
        <v>139612</v>
      </c>
      <c r="F47" s="51">
        <v>81402</v>
      </c>
    </row>
    <row r="48" spans="1:6" ht="12.75" customHeight="1">
      <c r="A48" s="9" t="s">
        <v>66</v>
      </c>
      <c r="B48" s="20">
        <v>0</v>
      </c>
      <c r="C48" s="20">
        <v>0</v>
      </c>
      <c r="D48" s="56">
        <v>0</v>
      </c>
      <c r="E48" s="20">
        <v>0</v>
      </c>
      <c r="F48" s="51">
        <v>0</v>
      </c>
    </row>
    <row r="49" spans="1:6" ht="12.75" customHeight="1">
      <c r="A49" s="9" t="s">
        <v>67</v>
      </c>
      <c r="B49" s="20">
        <v>9571</v>
      </c>
      <c r="C49" s="20">
        <v>19319</v>
      </c>
      <c r="D49" s="56">
        <v>282</v>
      </c>
      <c r="E49" s="20">
        <v>21</v>
      </c>
      <c r="F49" s="51">
        <v>0</v>
      </c>
    </row>
    <row r="50" spans="1:6" ht="12.75" customHeight="1">
      <c r="A50" s="9" t="s">
        <v>68</v>
      </c>
      <c r="B50" s="20">
        <v>-5135897</v>
      </c>
      <c r="C50" s="20">
        <v>-1934864</v>
      </c>
      <c r="D50" s="56">
        <v>-954915</v>
      </c>
      <c r="E50" s="20">
        <v>-57718</v>
      </c>
      <c r="F50" s="51">
        <v>-56920</v>
      </c>
    </row>
    <row r="51" spans="1:6" ht="12.75" customHeight="1">
      <c r="A51" s="9" t="s">
        <v>69</v>
      </c>
      <c r="B51" s="20">
        <v>-716936</v>
      </c>
      <c r="C51" s="20">
        <v>-191932</v>
      </c>
      <c r="D51" s="56">
        <v>-112432</v>
      </c>
      <c r="E51" s="20">
        <v>-32836</v>
      </c>
      <c r="F51" s="51">
        <v>-47852</v>
      </c>
    </row>
    <row r="52" spans="1:6" ht="12.75" customHeight="1">
      <c r="A52" s="9" t="s">
        <v>70</v>
      </c>
      <c r="B52" s="20">
        <v>0</v>
      </c>
      <c r="C52" s="20">
        <v>0</v>
      </c>
      <c r="D52" s="56">
        <v>-7</v>
      </c>
      <c r="E52" s="20">
        <v>0</v>
      </c>
      <c r="F52" s="51">
        <v>0</v>
      </c>
    </row>
    <row r="53" spans="1:6" ht="12.75" customHeight="1">
      <c r="A53" s="9" t="s">
        <v>71</v>
      </c>
      <c r="B53" s="20">
        <v>-123823</v>
      </c>
      <c r="C53" s="20">
        <v>0</v>
      </c>
      <c r="D53" s="56">
        <v>1566</v>
      </c>
      <c r="E53" s="20">
        <v>0</v>
      </c>
      <c r="F53" s="51">
        <v>0</v>
      </c>
    </row>
    <row r="54" spans="1:6" ht="12.75" customHeight="1">
      <c r="A54" s="9" t="s">
        <v>72</v>
      </c>
      <c r="B54" s="20">
        <v>-1086027</v>
      </c>
      <c r="C54" s="20">
        <v>-59715</v>
      </c>
      <c r="D54" s="56">
        <v>-29406</v>
      </c>
      <c r="E54" s="20">
        <v>-37101</v>
      </c>
      <c r="F54" s="51">
        <v>0</v>
      </c>
    </row>
    <row r="55" spans="1:6" ht="12.75" customHeight="1">
      <c r="A55" s="13"/>
      <c r="B55" s="20"/>
      <c r="C55" s="20"/>
      <c r="D55" s="56"/>
      <c r="E55" s="20"/>
      <c r="F55" s="51"/>
    </row>
    <row r="56" spans="1:6" ht="12.75" customHeight="1">
      <c r="A56" s="7" t="s">
        <v>73</v>
      </c>
      <c r="B56" s="22">
        <f>SUM(B47:B54)</f>
        <v>765327</v>
      </c>
      <c r="C56" s="22">
        <f>SUM(C46:C55)</f>
        <v>44625</v>
      </c>
      <c r="D56" s="30">
        <f>SUM(D46:D55)</f>
        <v>-27363</v>
      </c>
      <c r="E56" s="22">
        <f>SUM(E46:E55)</f>
        <v>11978</v>
      </c>
      <c r="F56" s="45">
        <f>SUM(F46:F55)</f>
        <v>-23370</v>
      </c>
    </row>
    <row r="57" spans="1:6" ht="12.75" customHeight="1">
      <c r="A57" s="13"/>
      <c r="B57" s="20"/>
      <c r="C57" s="20"/>
      <c r="D57" s="56"/>
      <c r="E57" s="20"/>
      <c r="F57" s="51"/>
    </row>
    <row r="58" spans="1:6" ht="12.75" customHeight="1">
      <c r="A58" s="7" t="s">
        <v>74</v>
      </c>
      <c r="B58" s="20"/>
      <c r="C58" s="20"/>
      <c r="D58" s="56"/>
      <c r="E58" s="20"/>
      <c r="F58" s="51"/>
    </row>
    <row r="59" spans="1:6" ht="12.75" customHeight="1">
      <c r="A59" s="9" t="s">
        <v>75</v>
      </c>
      <c r="B59" s="20">
        <v>0</v>
      </c>
      <c r="C59" s="20">
        <v>0</v>
      </c>
      <c r="D59" s="56">
        <v>0</v>
      </c>
      <c r="E59" s="20">
        <v>0</v>
      </c>
      <c r="F59" s="51">
        <v>0</v>
      </c>
    </row>
    <row r="60" spans="1:6" ht="12.75" customHeight="1">
      <c r="A60" s="9" t="s">
        <v>76</v>
      </c>
      <c r="B60" s="20">
        <v>0</v>
      </c>
      <c r="C60" s="20">
        <v>0</v>
      </c>
      <c r="D60" s="56">
        <v>0</v>
      </c>
      <c r="E60" s="20">
        <v>0</v>
      </c>
      <c r="F60" s="51">
        <v>0</v>
      </c>
    </row>
    <row r="61" spans="1:6" ht="12.75" customHeight="1">
      <c r="A61" s="9" t="s">
        <v>77</v>
      </c>
      <c r="B61" s="20">
        <v>0</v>
      </c>
      <c r="C61" s="20">
        <v>0</v>
      </c>
      <c r="D61" s="56">
        <v>0</v>
      </c>
      <c r="E61" s="20">
        <v>0</v>
      </c>
      <c r="F61" s="51">
        <v>0</v>
      </c>
    </row>
    <row r="62" spans="1:6" ht="12.75" customHeight="1">
      <c r="A62" s="9" t="s">
        <v>78</v>
      </c>
      <c r="B62" s="20">
        <v>0</v>
      </c>
      <c r="C62" s="20">
        <v>0</v>
      </c>
      <c r="D62" s="56">
        <v>76</v>
      </c>
      <c r="E62" s="20">
        <v>322</v>
      </c>
      <c r="F62" s="51">
        <v>0</v>
      </c>
    </row>
    <row r="63" spans="1:6" ht="12.75" customHeight="1">
      <c r="A63" s="9" t="s">
        <v>79</v>
      </c>
      <c r="B63" s="20">
        <v>0</v>
      </c>
      <c r="C63" s="20">
        <v>0</v>
      </c>
      <c r="D63" s="56">
        <v>0</v>
      </c>
      <c r="E63" s="20">
        <v>0</v>
      </c>
      <c r="F63" s="51">
        <v>0</v>
      </c>
    </row>
    <row r="64" spans="1:6" ht="12.75" customHeight="1">
      <c r="A64" s="9" t="s">
        <v>80</v>
      </c>
      <c r="B64" s="20">
        <v>0</v>
      </c>
      <c r="C64" s="20">
        <v>0</v>
      </c>
      <c r="D64" s="56">
        <v>0</v>
      </c>
      <c r="E64" s="20">
        <v>0</v>
      </c>
      <c r="F64" s="51">
        <v>0</v>
      </c>
    </row>
    <row r="65" spans="1:6" ht="12.75" customHeight="1">
      <c r="A65" s="9" t="s">
        <v>81</v>
      </c>
      <c r="B65" s="20">
        <v>-214288</v>
      </c>
      <c r="C65" s="20">
        <v>-28689</v>
      </c>
      <c r="D65" s="56">
        <v>0</v>
      </c>
      <c r="E65" s="20">
        <v>0</v>
      </c>
      <c r="F65" s="51">
        <v>0</v>
      </c>
    </row>
    <row r="66" spans="1:6" ht="12.75" customHeight="1">
      <c r="A66" s="9" t="s">
        <v>82</v>
      </c>
      <c r="B66" s="20">
        <v>0</v>
      </c>
      <c r="C66" s="20">
        <v>0</v>
      </c>
      <c r="D66" s="56">
        <v>0</v>
      </c>
      <c r="E66" s="20">
        <v>0</v>
      </c>
      <c r="F66" s="51">
        <v>0</v>
      </c>
    </row>
    <row r="67" spans="1:6" ht="12.75" customHeight="1">
      <c r="A67" s="13"/>
      <c r="B67" s="20"/>
      <c r="C67" s="20"/>
      <c r="D67" s="56"/>
      <c r="E67" s="20"/>
      <c r="F67" s="51"/>
    </row>
    <row r="68" spans="1:6" ht="12.75" customHeight="1">
      <c r="A68" s="7" t="s">
        <v>83</v>
      </c>
      <c r="B68" s="22">
        <f>SUM(B59:B66)</f>
        <v>-214288</v>
      </c>
      <c r="C68" s="22">
        <f>SUM(C59:C66)</f>
        <v>-28689</v>
      </c>
      <c r="D68" s="30">
        <f>SUM(D59:D66)</f>
        <v>76</v>
      </c>
      <c r="E68" s="22">
        <f>SUM(E59:E66)</f>
        <v>322</v>
      </c>
      <c r="F68" s="45">
        <f>SUM(F59:F66)</f>
        <v>0</v>
      </c>
    </row>
    <row r="69" spans="1:6" ht="12.75" customHeight="1">
      <c r="A69" s="13"/>
      <c r="B69" s="20"/>
      <c r="C69" s="20"/>
      <c r="D69" s="56"/>
      <c r="E69" s="20"/>
      <c r="F69" s="51"/>
    </row>
    <row r="70" spans="1:6" ht="12.75" customHeight="1">
      <c r="A70" s="7" t="s">
        <v>84</v>
      </c>
      <c r="B70" s="20"/>
      <c r="C70" s="20"/>
      <c r="D70" s="56"/>
      <c r="E70" s="20"/>
      <c r="F70" s="51"/>
    </row>
    <row r="71" spans="1:6" ht="12.75" customHeight="1">
      <c r="A71" s="9" t="s">
        <v>95</v>
      </c>
      <c r="B71" s="20">
        <v>0</v>
      </c>
      <c r="C71" s="20">
        <v>0</v>
      </c>
      <c r="D71" s="56">
        <v>0</v>
      </c>
      <c r="E71" s="20">
        <v>38601</v>
      </c>
      <c r="F71" s="51">
        <v>0</v>
      </c>
    </row>
    <row r="72" spans="1:7" ht="12.75" customHeight="1">
      <c r="A72" s="9" t="s">
        <v>85</v>
      </c>
      <c r="B72" s="20">
        <v>0</v>
      </c>
      <c r="C72" s="20">
        <v>0</v>
      </c>
      <c r="D72" s="56">
        <v>0</v>
      </c>
      <c r="E72" s="20">
        <v>0</v>
      </c>
      <c r="F72" s="51">
        <v>-30042</v>
      </c>
      <c r="G72" s="37"/>
    </row>
    <row r="73" spans="1:6" ht="12.75" customHeight="1">
      <c r="A73" s="9" t="s">
        <v>86</v>
      </c>
      <c r="B73" s="20">
        <v>-496181</v>
      </c>
      <c r="C73" s="20">
        <v>-10000</v>
      </c>
      <c r="D73" s="56">
        <v>0</v>
      </c>
      <c r="E73" s="20">
        <v>0</v>
      </c>
      <c r="F73" s="51">
        <v>0</v>
      </c>
    </row>
    <row r="74" spans="1:6" ht="12.75" customHeight="1">
      <c r="A74" s="9" t="s">
        <v>87</v>
      </c>
      <c r="B74" s="20">
        <v>0</v>
      </c>
      <c r="C74" s="20">
        <v>0</v>
      </c>
      <c r="D74" s="56">
        <v>0</v>
      </c>
      <c r="E74" s="20">
        <v>0</v>
      </c>
      <c r="F74" s="51">
        <v>0</v>
      </c>
    </row>
    <row r="75" spans="1:8" ht="12.75" customHeight="1">
      <c r="A75" s="13"/>
      <c r="B75" s="20"/>
      <c r="C75" s="20"/>
      <c r="D75" s="56"/>
      <c r="E75" s="20"/>
      <c r="F75" s="51"/>
      <c r="H75" s="33" t="s">
        <v>106</v>
      </c>
    </row>
    <row r="76" spans="1:8" ht="12.75" customHeight="1">
      <c r="A76" s="7" t="s">
        <v>88</v>
      </c>
      <c r="B76" s="30">
        <f>SUM(B71:B74)</f>
        <v>-496181</v>
      </c>
      <c r="C76" s="22">
        <f>SUM(C71:C74)</f>
        <v>-10000</v>
      </c>
      <c r="D76" s="64">
        <f>SUM(D71:D74)</f>
        <v>0</v>
      </c>
      <c r="E76" s="22">
        <f>SUM(E71:E74)</f>
        <v>38601</v>
      </c>
      <c r="F76" s="45">
        <f>SUM(F71:F74)</f>
        <v>-30042</v>
      </c>
      <c r="H76" s="33" t="s">
        <v>107</v>
      </c>
    </row>
    <row r="77" spans="1:6" ht="12.75" customHeight="1">
      <c r="A77" s="13"/>
      <c r="B77" s="20"/>
      <c r="C77" s="20"/>
      <c r="D77" s="56"/>
      <c r="E77" s="20"/>
      <c r="F77" s="51"/>
    </row>
    <row r="78" spans="1:6" ht="12.75" customHeight="1">
      <c r="A78" s="7" t="s">
        <v>89</v>
      </c>
      <c r="B78" s="22">
        <f>SUM(B56+(B68+B76))</f>
        <v>54858</v>
      </c>
      <c r="C78" s="22">
        <f>SUM(C56+(C68+C76))</f>
        <v>5936</v>
      </c>
      <c r="D78" s="30">
        <f>SUM(D56+(D68+D76))</f>
        <v>-27287</v>
      </c>
      <c r="E78" s="22">
        <f>SUM(E56+(E68+E76))</f>
        <v>50901</v>
      </c>
      <c r="F78" s="45">
        <f>SUM(F56+(F68+F76))</f>
        <v>-53412</v>
      </c>
    </row>
    <row r="79" spans="1:6" ht="12.75" customHeight="1">
      <c r="A79" s="7"/>
      <c r="B79" s="20"/>
      <c r="C79" s="20"/>
      <c r="D79" s="56"/>
      <c r="E79" s="20"/>
      <c r="F79" s="51"/>
    </row>
    <row r="80" spans="1:6" ht="12.75" customHeight="1">
      <c r="A80" s="7" t="s">
        <v>90</v>
      </c>
      <c r="B80" s="22">
        <v>246599</v>
      </c>
      <c r="C80" s="22">
        <v>3747</v>
      </c>
      <c r="D80" s="30">
        <v>41852</v>
      </c>
      <c r="E80" s="22">
        <v>0</v>
      </c>
      <c r="F80" s="45">
        <v>57370</v>
      </c>
    </row>
    <row r="81" spans="1:6" ht="12.75" customHeight="1">
      <c r="A81" s="7"/>
      <c r="B81" s="22"/>
      <c r="C81" s="22"/>
      <c r="D81" s="30"/>
      <c r="E81" s="22"/>
      <c r="F81" s="45"/>
    </row>
    <row r="82" spans="1:6" ht="12.75" customHeight="1">
      <c r="A82" s="7" t="s">
        <v>94</v>
      </c>
      <c r="B82" s="22">
        <v>-34352</v>
      </c>
      <c r="C82" s="22">
        <v>0</v>
      </c>
      <c r="D82" s="30">
        <v>-1246</v>
      </c>
      <c r="E82" s="22">
        <v>98</v>
      </c>
      <c r="F82" s="45">
        <v>0</v>
      </c>
    </row>
    <row r="83" spans="1:6" ht="12.75" customHeight="1">
      <c r="A83" s="13"/>
      <c r="B83" s="22"/>
      <c r="C83" s="22"/>
      <c r="D83" s="30"/>
      <c r="E83" s="22"/>
      <c r="F83" s="45"/>
    </row>
    <row r="84" spans="1:6" ht="12.75" customHeight="1" thickBot="1">
      <c r="A84" s="16" t="s">
        <v>91</v>
      </c>
      <c r="B84" s="23">
        <f>SUM(B78+B80+B82)</f>
        <v>267105</v>
      </c>
      <c r="C84" s="23">
        <f>SUM(C78+C80+C82)</f>
        <v>9683</v>
      </c>
      <c r="D84" s="60">
        <f>SUM(D78,D80,D82)</f>
        <v>13319</v>
      </c>
      <c r="E84" s="23">
        <f>SUM(E78,E80,E82)</f>
        <v>50999</v>
      </c>
      <c r="F84" s="61">
        <f>SUM(F78,F80,F82)</f>
        <v>3958</v>
      </c>
    </row>
  </sheetData>
  <sheetProtection/>
  <mergeCells count="2">
    <mergeCell ref="A1:K1"/>
    <mergeCell ref="A43:H43"/>
  </mergeCells>
  <printOptions/>
  <pageMargins left="0.66" right="0.4" top="0.32" bottom="0.4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Metalac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Biljana Cvetic</cp:lastModifiedBy>
  <cp:lastPrinted>2012-02-22T06:47:57Z</cp:lastPrinted>
  <dcterms:created xsi:type="dcterms:W3CDTF">2009-02-24T07:04:59Z</dcterms:created>
  <dcterms:modified xsi:type="dcterms:W3CDTF">2012-03-30T13:21:08Z</dcterms:modified>
  <cp:category/>
  <cp:version/>
  <cp:contentType/>
  <cp:contentStatus/>
</cp:coreProperties>
</file>